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59A95378-C5C6-4E74-88A7-3FB09D04535E}" xr6:coauthVersionLast="45" xr6:coauthVersionMax="45" xr10:uidLastSave="{00000000-0000-0000-0000-000000000000}"/>
  <bookViews>
    <workbookView xWindow="28245" yWindow="3915" windowWidth="17175" windowHeight="15435" xr2:uid="{00000000-000D-0000-FFFF-FFFF00000000}"/>
  </bookViews>
  <sheets>
    <sheet name="template" sheetId="1" r:id="rId1"/>
    <sheet name="constants" sheetId="4" r:id="rId2"/>
    <sheet name="IRRs" sheetId="5" r:id="rId3"/>
    <sheet name="Cap. acct" sheetId="11" r:id="rId4"/>
    <sheet name="Liq. cap." sheetId="12" r:id="rId5"/>
    <sheet name="Book" sheetId="13" r:id="rId6"/>
    <sheet name="Depr" sheetId="10" r:id="rId7"/>
    <sheet name="Op. accts" sheetId="14" r:id="rId8"/>
    <sheet name="Csh Rec." sheetId="6" r:id="rId9"/>
    <sheet name="COGS" sheetId="8" r:id="rId10"/>
    <sheet name="OEs" sheetId="9" r:id="rId11"/>
    <sheet name="Tax svg. depr." sheetId="15" r:id="rId12"/>
    <sheet name="Forecast" sheetId="21" r:id="rId13"/>
  </sheets>
  <definedNames>
    <definedName name="solver_eng" localSheetId="12" hidden="1">1</definedName>
    <definedName name="solver_eng" localSheetId="0" hidden="1">1</definedName>
    <definedName name="solver_neg" localSheetId="12" hidden="1">1</definedName>
    <definedName name="solver_neg" localSheetId="0" hidden="1">1</definedName>
    <definedName name="solver_num" localSheetId="12" hidden="1">0</definedName>
    <definedName name="solver_num" localSheetId="0" hidden="1">0</definedName>
    <definedName name="solver_opt" localSheetId="12" hidden="1">Forecast!$E$15</definedName>
    <definedName name="solver_opt" localSheetId="0" hidden="1">template!$P$5</definedName>
    <definedName name="solver_typ" localSheetId="12" hidden="1">1</definedName>
    <definedName name="solver_typ" localSheetId="0" hidden="1">1</definedName>
    <definedName name="solver_val" localSheetId="12" hidden="1">0</definedName>
    <definedName name="solver_val" localSheetId="0" hidden="1">0</definedName>
    <definedName name="solver_ver" localSheetId="1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4" l="1"/>
  <c r="F2" i="14"/>
  <c r="C13" i="21"/>
  <c r="C15" i="21"/>
  <c r="C12" i="21"/>
  <c r="C11" i="21"/>
  <c r="C10" i="21"/>
  <c r="C14" i="21"/>
  <c r="B5" i="8" l="1"/>
  <c r="B6" i="8" s="1"/>
  <c r="B7" i="8" s="1"/>
  <c r="B8" i="8" s="1"/>
  <c r="B5" i="6"/>
  <c r="B6" i="6" s="1"/>
  <c r="B7" i="6" s="1"/>
  <c r="B8" i="6" s="1"/>
  <c r="B4" i="6"/>
  <c r="D11" i="21"/>
  <c r="D15" i="21"/>
  <c r="E11" i="21"/>
  <c r="E15" i="21"/>
  <c r="E14" i="21"/>
  <c r="D12" i="21"/>
  <c r="E10" i="21"/>
  <c r="E13" i="21"/>
  <c r="D14" i="21"/>
  <c r="D10" i="21"/>
  <c r="E12" i="21"/>
  <c r="D13" i="21"/>
  <c r="L4" i="1" l="1"/>
  <c r="B2" i="5" s="1"/>
  <c r="D4" i="1"/>
  <c r="J6" i="1"/>
  <c r="F6" i="1"/>
  <c r="F7" i="1"/>
  <c r="J7" i="1" s="1"/>
  <c r="F8" i="1"/>
  <c r="J8" i="1" s="1"/>
  <c r="F9" i="1"/>
  <c r="F5" i="1"/>
  <c r="J5" i="1" s="1"/>
  <c r="L6" i="1" l="1"/>
  <c r="L7" i="1"/>
  <c r="L8" i="1"/>
  <c r="L9" i="1"/>
  <c r="L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l="1"/>
  <c r="L27" i="1"/>
  <c r="L28" i="1"/>
  <c r="L29" i="1"/>
  <c r="J9" i="1"/>
  <c r="K9" i="1" s="1"/>
  <c r="J10" i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M4" i="1" l="1"/>
  <c r="C2" i="5" l="1"/>
  <c r="I6" i="1"/>
  <c r="K5" i="1"/>
  <c r="I7" i="1" l="1"/>
  <c r="K6" i="1"/>
  <c r="D2" i="5"/>
  <c r="M5" i="1"/>
  <c r="N5" i="1" s="1"/>
  <c r="I8" i="1" l="1"/>
  <c r="K8" i="1" s="1"/>
  <c r="K7" i="1"/>
  <c r="M6" i="1"/>
  <c r="N6" i="1" s="1"/>
  <c r="O6" i="1" s="1"/>
  <c r="C9" i="5" s="1"/>
  <c r="O5" i="1"/>
  <c r="B9" i="5" s="1"/>
  <c r="B8" i="5"/>
  <c r="E2" i="5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C8" i="5" l="1"/>
  <c r="E5" i="5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M7" i="1"/>
  <c r="N7" i="1" s="1"/>
  <c r="O7" i="1" s="1"/>
  <c r="D9" i="5" s="1"/>
  <c r="F2" i="5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M8" i="1"/>
  <c r="N8" i="1" s="1"/>
  <c r="F6" i="5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V4" i="5"/>
  <c r="Z4" i="5" s="1"/>
  <c r="T4" i="5"/>
  <c r="W4" i="5"/>
  <c r="G7" i="5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D8" i="5" l="1"/>
  <c r="W5" i="5"/>
  <c r="V5" i="5"/>
  <c r="Z5" i="5" s="1"/>
  <c r="T5" i="5"/>
  <c r="O8" i="1"/>
  <c r="E9" i="5" s="1"/>
  <c r="E8" i="5"/>
  <c r="M9" i="1"/>
  <c r="N9" i="1" s="1"/>
  <c r="O9" i="1" s="1"/>
  <c r="W6" i="5"/>
  <c r="V6" i="5"/>
  <c r="Z6" i="5" s="1"/>
  <c r="U6" i="5"/>
  <c r="Y6" i="5" s="1"/>
  <c r="X6" i="5"/>
  <c r="U4" i="5"/>
  <c r="Y4" i="5" s="1"/>
  <c r="X4" i="5"/>
  <c r="W7" i="5"/>
  <c r="T7" i="5"/>
  <c r="V7" i="5"/>
  <c r="Z7" i="5" s="1"/>
  <c r="H8" i="5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U5" i="5" l="1"/>
  <c r="Y5" i="5" s="1"/>
  <c r="X5" i="5"/>
  <c r="M10" i="1"/>
  <c r="U7" i="5"/>
  <c r="Y7" i="5" s="1"/>
  <c r="X7" i="5"/>
  <c r="W8" i="5"/>
  <c r="T8" i="5"/>
  <c r="V8" i="5"/>
  <c r="Z8" i="5" s="1"/>
  <c r="I9" i="5"/>
  <c r="J9" i="5" s="1"/>
  <c r="K9" i="5" s="1"/>
  <c r="M9" i="5" s="1"/>
  <c r="N9" i="5" s="1"/>
  <c r="O9" i="5" s="1"/>
  <c r="P9" i="5" s="1"/>
  <c r="Q9" i="5" s="1"/>
  <c r="R9" i="5" s="1"/>
  <c r="S9" i="5" s="1"/>
  <c r="N10" i="1" l="1"/>
  <c r="O10" i="1" s="1"/>
  <c r="M11" i="1"/>
  <c r="N11" i="1" s="1"/>
  <c r="O11" i="1" s="1"/>
  <c r="U8" i="5"/>
  <c r="Y8" i="5" s="1"/>
  <c r="X8" i="5"/>
  <c r="W9" i="5"/>
  <c r="V9" i="5"/>
  <c r="Z9" i="5" s="1"/>
  <c r="T9" i="5"/>
  <c r="J10" i="5"/>
  <c r="K10" i="5" s="1"/>
  <c r="L10" i="5" s="1"/>
  <c r="M10" i="5" s="1"/>
  <c r="N10" i="5" s="1"/>
  <c r="O10" i="5" s="1"/>
  <c r="P10" i="5" s="1"/>
  <c r="Q10" i="5" s="1"/>
  <c r="R10" i="5" s="1"/>
  <c r="S10" i="5" s="1"/>
  <c r="M12" i="1" l="1"/>
  <c r="U9" i="5"/>
  <c r="Y9" i="5" s="1"/>
  <c r="X9" i="5"/>
  <c r="W10" i="5"/>
  <c r="V10" i="5"/>
  <c r="Z10" i="5" s="1"/>
  <c r="T10" i="5"/>
  <c r="K11" i="5"/>
  <c r="L11" i="5" s="1"/>
  <c r="M11" i="5" s="1"/>
  <c r="N11" i="5" s="1"/>
  <c r="O11" i="5" s="1"/>
  <c r="P11" i="5" s="1"/>
  <c r="Q11" i="5" s="1"/>
  <c r="R11" i="5" s="1"/>
  <c r="S11" i="5" s="1"/>
  <c r="N12" i="1" l="1"/>
  <c r="O12" i="1" s="1"/>
  <c r="M13" i="1"/>
  <c r="N13" i="1" s="1"/>
  <c r="O13" i="1" s="1"/>
  <c r="U10" i="5"/>
  <c r="Y10" i="5" s="1"/>
  <c r="X10" i="5"/>
  <c r="V11" i="5"/>
  <c r="Z11" i="5" s="1"/>
  <c r="W11" i="5"/>
  <c r="T11" i="5"/>
  <c r="L12" i="5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M14" i="1" l="1"/>
  <c r="U11" i="5"/>
  <c r="Y11" i="5" s="1"/>
  <c r="X11" i="5"/>
  <c r="M13" i="5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N14" i="1" l="1"/>
  <c r="O14" i="1" s="1"/>
  <c r="M15" i="1"/>
  <c r="N15" i="1" s="1"/>
  <c r="O15" i="1" s="1"/>
  <c r="N14" i="5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M16" i="1" l="1"/>
  <c r="O15" i="5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N16" i="1" l="1"/>
  <c r="O16" i="1" s="1"/>
  <c r="M17" i="1"/>
  <c r="N17" i="1" s="1"/>
  <c r="O17" i="1" s="1"/>
  <c r="P16" i="5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M18" i="1" l="1"/>
  <c r="Q17" i="5"/>
  <c r="R17" i="5" s="1"/>
  <c r="S17" i="5" s="1"/>
  <c r="T17" i="5" s="1"/>
  <c r="U17" i="5" s="1"/>
  <c r="V17" i="5" s="1"/>
  <c r="W17" i="5" s="1"/>
  <c r="X17" i="5" s="1"/>
  <c r="Y17" i="5" s="1"/>
  <c r="Z17" i="5" s="1"/>
  <c r="N18" i="1" l="1"/>
  <c r="O18" i="1" s="1"/>
  <c r="M19" i="1"/>
  <c r="N19" i="1" s="1"/>
  <c r="O19" i="1" s="1"/>
  <c r="R18" i="5"/>
  <c r="S18" i="5" s="1"/>
  <c r="T18" i="5" s="1"/>
  <c r="U18" i="5" s="1"/>
  <c r="V18" i="5" s="1"/>
  <c r="W18" i="5" s="1"/>
  <c r="X18" i="5" s="1"/>
  <c r="Y18" i="5" s="1"/>
  <c r="Z18" i="5" s="1"/>
  <c r="M20" i="1" l="1"/>
  <c r="S19" i="5"/>
  <c r="T19" i="5" s="1"/>
  <c r="U19" i="5" s="1"/>
  <c r="V19" i="5" s="1"/>
  <c r="W19" i="5" s="1"/>
  <c r="X19" i="5" s="1"/>
  <c r="Y19" i="5" s="1"/>
  <c r="Z19" i="5" s="1"/>
  <c r="N20" i="1" l="1"/>
  <c r="O20" i="1" s="1"/>
  <c r="M21" i="1"/>
  <c r="N21" i="1" s="1"/>
  <c r="O21" i="1" s="1"/>
  <c r="T20" i="5"/>
  <c r="U20" i="5" s="1"/>
  <c r="V20" i="5" s="1"/>
  <c r="W20" i="5" s="1"/>
  <c r="X20" i="5" s="1"/>
  <c r="Y20" i="5" s="1"/>
  <c r="Z20" i="5" s="1"/>
  <c r="M22" i="1" l="1"/>
  <c r="N22" i="1" s="1"/>
  <c r="O22" i="1" s="1"/>
  <c r="U21" i="5"/>
  <c r="V21" i="5" s="1"/>
  <c r="W21" i="5" s="1"/>
  <c r="X21" i="5" s="1"/>
  <c r="Y21" i="5" s="1"/>
  <c r="Z21" i="5" s="1"/>
  <c r="M23" i="1" l="1"/>
  <c r="N23" i="1" s="1"/>
  <c r="O23" i="1" s="1"/>
  <c r="S20" i="5"/>
  <c r="V22" i="5"/>
  <c r="W22" i="5" s="1"/>
  <c r="X22" i="5" s="1"/>
  <c r="Y22" i="5" s="1"/>
  <c r="Z22" i="5" s="1"/>
  <c r="M24" i="1" l="1"/>
  <c r="N24" i="1" s="1"/>
  <c r="O24" i="1" s="1"/>
  <c r="T21" i="5"/>
  <c r="W23" i="5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S21" i="5" s="1"/>
  <c r="P22" i="1" s="1"/>
  <c r="M25" i="1" l="1"/>
  <c r="N25" i="1" s="1"/>
  <c r="O25" i="1" s="1"/>
  <c r="U22" i="5"/>
  <c r="V3" i="5"/>
  <c r="Z3" i="5" s="1"/>
  <c r="W3" i="5"/>
  <c r="T3" i="5"/>
  <c r="T22" i="5" s="1"/>
  <c r="P23" i="1" s="1"/>
  <c r="X24" i="5"/>
  <c r="Y24" i="5" s="1"/>
  <c r="Z24" i="5" s="1"/>
  <c r="C4" i="5"/>
  <c r="C10" i="5" l="1"/>
  <c r="P6" i="1" s="1"/>
  <c r="M26" i="1"/>
  <c r="N26" i="1" s="1"/>
  <c r="O26" i="1" s="1"/>
  <c r="U3" i="5"/>
  <c r="Y3" i="5" s="1"/>
  <c r="X3" i="5"/>
  <c r="X23" i="5"/>
  <c r="Y25" i="5"/>
  <c r="Z25" i="5" s="1"/>
  <c r="M27" i="1" l="1"/>
  <c r="N27" i="1" s="1"/>
  <c r="O27" i="1" s="1"/>
  <c r="U23" i="5"/>
  <c r="P24" i="1" s="1"/>
  <c r="W24" i="5"/>
  <c r="W25" i="5" s="1"/>
  <c r="P26" i="1" s="1"/>
  <c r="Y23" i="5"/>
  <c r="V23" i="5"/>
  <c r="V24" i="5" s="1"/>
  <c r="P25" i="1" s="1"/>
  <c r="Z26" i="5"/>
  <c r="M29" i="1" l="1"/>
  <c r="N29" i="1" s="1"/>
  <c r="O29" i="1" s="1"/>
  <c r="M28" i="1"/>
  <c r="N28" i="1" s="1"/>
  <c r="O28" i="1" s="1"/>
  <c r="X25" i="5"/>
  <c r="X26" i="5" s="1"/>
  <c r="P27" i="1" s="1"/>
  <c r="Z27" i="5" l="1"/>
  <c r="Y26" i="5"/>
  <c r="Y27" i="5" s="1"/>
  <c r="P28" i="1" s="1"/>
  <c r="G8" i="5"/>
  <c r="M14" i="5"/>
  <c r="F7" i="5"/>
  <c r="H9" i="5"/>
  <c r="N15" i="5"/>
  <c r="P17" i="5"/>
  <c r="L13" i="5"/>
  <c r="E6" i="5"/>
  <c r="O16" i="5"/>
  <c r="Q18" i="5"/>
  <c r="D5" i="5"/>
  <c r="J11" i="5"/>
  <c r="K12" i="5"/>
  <c r="I10" i="5"/>
  <c r="R19" i="5"/>
  <c r="E10" i="5" l="1"/>
  <c r="P8" i="1" s="1"/>
  <c r="D10" i="5"/>
  <c r="P7" i="1" s="1"/>
  <c r="Q19" i="5"/>
  <c r="P20" i="1" s="1"/>
  <c r="R20" i="5" l="1"/>
  <c r="P21" i="1" s="1"/>
  <c r="P18" i="5"/>
  <c r="P19" i="1" s="1"/>
  <c r="O17" i="5" l="1"/>
  <c r="P18" i="1" s="1"/>
  <c r="N16" i="5" l="1"/>
  <c r="P17" i="1" s="1"/>
  <c r="M15" i="5" l="1"/>
  <c r="P16" i="1" s="1"/>
  <c r="L14" i="5" l="1"/>
  <c r="P15" i="1" s="1"/>
  <c r="K13" i="5" l="1"/>
  <c r="P14" i="1" s="1"/>
  <c r="J12" i="5" l="1"/>
  <c r="P13" i="1" s="1"/>
  <c r="I11" i="5" l="1"/>
  <c r="P12" i="1" s="1"/>
  <c r="H10" i="5" l="1"/>
  <c r="P11" i="1" s="1"/>
  <c r="F8" i="5" l="1"/>
  <c r="P9" i="1" s="1"/>
  <c r="G9" i="5"/>
  <c r="P10" i="1" s="1"/>
  <c r="B3" i="5"/>
  <c r="B10" i="5" s="1"/>
  <c r="P5" i="1" s="1"/>
  <c r="Z23" i="5" l="1"/>
  <c r="Z28" i="5" s="1"/>
  <c r="P29" i="1" s="1"/>
</calcChain>
</file>

<file path=xl/sharedStrings.xml><?xml version="1.0" encoding="utf-8"?>
<sst xmlns="http://schemas.openxmlformats.org/spreadsheetml/2006/main" count="75" uniqueCount="70">
  <si>
    <t xml:space="preserve">Cash Cost of Goods Sold (COGS) </t>
  </si>
  <si>
    <t xml:space="preserve">Cash Receipts (CR)
</t>
  </si>
  <si>
    <t>Yr</t>
  </si>
  <si>
    <t>IRRs,  tax rates, and growth rates</t>
  </si>
  <si>
    <t>defender's IRR</t>
  </si>
  <si>
    <t>average tax rate</t>
  </si>
  <si>
    <t>After-tax IRR</t>
  </si>
  <si>
    <t>average interest rate</t>
  </si>
  <si>
    <t>CR growth rate</t>
  </si>
  <si>
    <t>COGS growth rate</t>
  </si>
  <si>
    <t>debt growth rate</t>
  </si>
  <si>
    <t>Liquid. growth rate</t>
  </si>
  <si>
    <t>Book value growth rate</t>
  </si>
  <si>
    <t>acct. bal. growth rate</t>
  </si>
  <si>
    <t>OEs growth rate</t>
  </si>
  <si>
    <t>Rolling 
NPV</t>
  </si>
  <si>
    <t>Rolling 
 AE</t>
  </si>
  <si>
    <t xml:space="preserve">Rolling IRR
IRR </t>
  </si>
  <si>
    <t>Cash Overhead Expenses (OEs)</t>
  </si>
  <si>
    <t>Capital accounts value</t>
  </si>
  <si>
    <t>Capital accounts liquidation value</t>
  </si>
  <si>
    <t xml:space="preserve">Capital accounts book value
</t>
  </si>
  <si>
    <t>Operating accounts value (AR + INV - AP -AL)</t>
  </si>
  <si>
    <t>Capital accounts depr.</t>
  </si>
  <si>
    <t xml:space="preserve">Tax savings from depr. (TxDepr)
</t>
  </si>
  <si>
    <t xml:space="preserve">After-tax cash flow (ATCF) from operations
</t>
  </si>
  <si>
    <t>ATCF from liquidating Capital and operating accounts</t>
  </si>
  <si>
    <t xml:space="preserve">ATCF from operatiions and liquidations </t>
  </si>
  <si>
    <t>Economic life</t>
  </si>
  <si>
    <t>Invest. amount</t>
  </si>
  <si>
    <t>1 year</t>
  </si>
  <si>
    <t>2 years</t>
  </si>
  <si>
    <t>3 years</t>
  </si>
  <si>
    <t xml:space="preserve">4 years </t>
  </si>
  <si>
    <t>IRRs</t>
  </si>
  <si>
    <t>NPVs</t>
  </si>
  <si>
    <t>AEs</t>
  </si>
  <si>
    <t>ATCF from operations and liq.</t>
  </si>
  <si>
    <t>5 years</t>
  </si>
  <si>
    <t>6years</t>
  </si>
  <si>
    <t>OER</t>
  </si>
  <si>
    <t xml:space="preserve"> </t>
  </si>
  <si>
    <t>Cash Receipts</t>
  </si>
  <si>
    <t>Year</t>
  </si>
  <si>
    <t>Cost of Goods Sold</t>
  </si>
  <si>
    <t>Years</t>
  </si>
  <si>
    <t>Depr. Base</t>
  </si>
  <si>
    <t>Depr. Rate</t>
  </si>
  <si>
    <t>Depr. Amt.</t>
  </si>
  <si>
    <t>AR</t>
  </si>
  <si>
    <t>Inv</t>
  </si>
  <si>
    <t>AP</t>
  </si>
  <si>
    <t>AL</t>
  </si>
  <si>
    <t>op.acct. sum</t>
  </si>
  <si>
    <t>2 proj.</t>
  </si>
  <si>
    <t>3 proj.</t>
  </si>
  <si>
    <t>4 proj.</t>
  </si>
  <si>
    <t>5 proj.</t>
  </si>
  <si>
    <t>Cash overhead expenses</t>
  </si>
  <si>
    <t>time</t>
  </si>
  <si>
    <t>observed</t>
  </si>
  <si>
    <t>Forecast(observed)</t>
  </si>
  <si>
    <t>Lower Confidence Bound(observed)</t>
  </si>
  <si>
    <t>Upper Confidence Bound(observed)</t>
  </si>
  <si>
    <t>Capital account value</t>
  </si>
  <si>
    <t>-&gt; investment in lawn and snow removal equip</t>
  </si>
  <si>
    <t>Capital accounts values</t>
  </si>
  <si>
    <t>Liquidation Value</t>
  </si>
  <si>
    <t>Capital accounts book value</t>
  </si>
  <si>
    <t xml:space="preserve"> Table 13.9. PV Template for Rolling Estimates of NPVs, AEs, and IRRs for Green and Clean Services (GCS) Assuming Constant CR and COGS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</si>
</sst>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00%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/>
    <xf numFmtId="165" fontId="0" fillId="0" borderId="0" xfId="0" applyNumberFormat="1"/>
    <xf numFmtId="0" fontId="1" fillId="0" borderId="0" xfId="0" applyFont="1" applyAlignment="1">
      <alignment vertical="top" wrapText="1"/>
    </xf>
    <xf numFmtId="165" fontId="0" fillId="0" borderId="0" xfId="0" applyNumberFormat="1" applyAlignment="1"/>
    <xf numFmtId="0" fontId="0" fillId="2" borderId="0" xfId="0" applyFill="1" applyAlignment="1">
      <alignment vertical="top"/>
    </xf>
    <xf numFmtId="0" fontId="0" fillId="2" borderId="0" xfId="0" applyFill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4" fillId="0" borderId="0" xfId="0" applyFont="1"/>
    <xf numFmtId="8" fontId="0" fillId="0" borderId="0" xfId="0" applyNumberForma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2" fontId="0" fillId="0" borderId="0" xfId="0" applyNumberFormat="1"/>
    <xf numFmtId="6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top" wrapText="1"/>
    </xf>
    <xf numFmtId="6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Forecast!$B$1</c:f>
              <c:strCache>
                <c:ptCount val="1"/>
                <c:pt idx="0">
                  <c:v>observed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Forecast!$B$2:$B$15</c:f>
              <c:numCache>
                <c:formatCode>General</c:formatCode>
                <c:ptCount val="14"/>
                <c:pt idx="0">
                  <c:v>13</c:v>
                </c:pt>
                <c:pt idx="1">
                  <c:v>12</c:v>
                </c:pt>
                <c:pt idx="2">
                  <c:v>13.5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17.5</c:v>
                </c:pt>
                <c:pt idx="7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9-4C50-B871-213FB2758E31}"/>
            </c:ext>
          </c:extLst>
        </c:ser>
        <c:ser>
          <c:idx val="1"/>
          <c:order val="1"/>
          <c:tx>
            <c:strRef>
              <c:f>Forecast!$C$1</c:f>
              <c:strCache>
                <c:ptCount val="1"/>
                <c:pt idx="0">
                  <c:v>Forecast(observed)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Forecast!$C$2:$C$15</c:f>
              <c:numCache>
                <c:formatCode>General</c:formatCode>
                <c:ptCount val="14"/>
                <c:pt idx="7">
                  <c:v>17.899999999999999</c:v>
                </c:pt>
                <c:pt idx="8">
                  <c:v>19.732144581938552</c:v>
                </c:pt>
                <c:pt idx="9">
                  <c:v>21.599629981721208</c:v>
                </c:pt>
                <c:pt idx="10">
                  <c:v>21.626458565994668</c:v>
                </c:pt>
                <c:pt idx="11">
                  <c:v>22.859931161482237</c:v>
                </c:pt>
                <c:pt idx="12">
                  <c:v>24.727416561264892</c:v>
                </c:pt>
                <c:pt idx="13">
                  <c:v>24.754245145538352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9-4C50-B871-213FB2758E31}"/>
            </c:ext>
          </c:extLst>
        </c:ser>
        <c:ser>
          <c:idx val="2"/>
          <c:order val="2"/>
          <c:tx>
            <c:strRef>
              <c:f>Forecast!$D$1</c:f>
              <c:strCache>
                <c:ptCount val="1"/>
                <c:pt idx="0">
                  <c:v>Lower Confidence Bound(observed)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Forecast!$A$2:$A$15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Forecast!$D$2:$D$15</c:f>
              <c:numCache>
                <c:formatCode>General</c:formatCode>
                <c:ptCount val="14"/>
                <c:pt idx="7" formatCode="0.00">
                  <c:v>17.899999999999999</c:v>
                </c:pt>
                <c:pt idx="8" formatCode="0.00">
                  <c:v>17.993061189904434</c:v>
                </c:pt>
                <c:pt idx="9" formatCode="0.00">
                  <c:v>19.80617709875618</c:v>
                </c:pt>
                <c:pt idx="10" formatCode="0.00">
                  <c:v>19.779823038891472</c:v>
                </c:pt>
                <c:pt idx="11" formatCode="0.00">
                  <c:v>20.960793173308396</c:v>
                </c:pt>
                <c:pt idx="12" formatCode="0.00">
                  <c:v>22.777189029336814</c:v>
                </c:pt>
                <c:pt idx="13" formatCode="0.00">
                  <c:v>22.753846378167385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9-4C50-B871-213FB2758E31}"/>
            </c:ext>
          </c:extLst>
        </c:ser>
        <c:ser>
          <c:idx val="3"/>
          <c:order val="3"/>
          <c:tx>
            <c:strRef>
              <c:f>Forecast!$E$1</c:f>
              <c:strCache>
                <c:ptCount val="1"/>
                <c:pt idx="0">
                  <c:v>Upper Confidence Bound(observed)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Forecast!$A$2:$A$15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Forecast!$E$2:$E$15</c:f>
              <c:numCache>
                <c:formatCode>General</c:formatCode>
                <c:ptCount val="14"/>
                <c:pt idx="7" formatCode="0.00">
                  <c:v>17.899999999999999</c:v>
                </c:pt>
                <c:pt idx="8" formatCode="0.00">
                  <c:v>21.47122797397267</c:v>
                </c:pt>
                <c:pt idx="9" formatCode="0.00">
                  <c:v>23.393082864686235</c:v>
                </c:pt>
                <c:pt idx="10" formatCode="0.00">
                  <c:v>23.473094093097863</c:v>
                </c:pt>
                <c:pt idx="11" formatCode="0.00">
                  <c:v>24.759069149656078</c:v>
                </c:pt>
                <c:pt idx="12" formatCode="0.00">
                  <c:v>26.677644093192971</c:v>
                </c:pt>
                <c:pt idx="13" formatCode="0.00">
                  <c:v>26.754643912909319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A9-4C50-B871-213FB2758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17160"/>
        <c:axId val="326116176"/>
      </c:lineChart>
      <c:catAx>
        <c:axId val="3261171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16176"/>
        <c:crosses val="autoZero"/>
        <c:auto val="1"/>
        <c:lblAlgn val="ctr"/>
        <c:lblOffset val="100"/>
        <c:noMultiLvlLbl val="0"/>
      </c:catAx>
      <c:valAx>
        <c:axId val="3261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1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349624</xdr:colOff>
      <xdr:row>5</xdr:row>
      <xdr:rowOff>187138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73153" y="2517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6</xdr:row>
      <xdr:rowOff>187138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7</xdr:row>
      <xdr:rowOff>187138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8</xdr:row>
      <xdr:rowOff>187138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9</xdr:row>
      <xdr:rowOff>187138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10</xdr:row>
      <xdr:rowOff>187138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11</xdr:row>
      <xdr:rowOff>187138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12</xdr:row>
      <xdr:rowOff>187138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13</xdr:row>
      <xdr:rowOff>187138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14</xdr:row>
      <xdr:rowOff>187138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15</xdr:row>
      <xdr:rowOff>187138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16</xdr:row>
      <xdr:rowOff>187138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17</xdr:row>
      <xdr:rowOff>187138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18</xdr:row>
      <xdr:rowOff>187138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19</xdr:row>
      <xdr:rowOff>187138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20</xdr:row>
      <xdr:rowOff>187138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21</xdr:row>
      <xdr:rowOff>187138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22</xdr:row>
      <xdr:rowOff>187138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23</xdr:row>
      <xdr:rowOff>187138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24</xdr:row>
      <xdr:rowOff>187138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25</xdr:row>
      <xdr:rowOff>187138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26</xdr:row>
      <xdr:rowOff>187138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27</xdr:row>
      <xdr:rowOff>187138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28</xdr:row>
      <xdr:rowOff>187138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7</xdr:row>
      <xdr:rowOff>187138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767418" y="22938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8</xdr:row>
      <xdr:rowOff>187138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767418" y="2484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15</xdr:row>
      <xdr:rowOff>52387</xdr:rowOff>
    </xdr:from>
    <xdr:to>
      <xdr:col>4</xdr:col>
      <xdr:colOff>1885950</xdr:colOff>
      <xdr:row>30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E15" totalsRowShown="0">
  <autoFilter ref="A1:E15" xr:uid="{00000000-0009-0000-0100-000003000000}"/>
  <tableColumns count="5">
    <tableColumn id="1" xr3:uid="{00000000-0010-0000-0000-000001000000}" name="time" dataDxfId="3"/>
    <tableColumn id="2" xr3:uid="{00000000-0010-0000-0000-000002000000}" name="observed"/>
    <tableColumn id="3" xr3:uid="{00000000-0010-0000-0000-000003000000}" name="Forecast(observed)" dataDxfId="2">
      <calculatedColumnFormula>_xlfn.FORECAST.ETS(A2,$B$2:$B$9,$A$2:$A$9,1,1)</calculatedColumnFormula>
    </tableColumn>
    <tableColumn id="4" xr3:uid="{00000000-0010-0000-0000-000004000000}" name="Lower Confidence Bound(observed)" dataDxfId="1">
      <calculatedColumnFormula>C2-_xlfn.FORECAST.ETS.CONFINT(A2,$B$2:$B$9,$A$2:$A$9,0.95,1,1)</calculatedColumnFormula>
    </tableColumn>
    <tableColumn id="5" xr3:uid="{00000000-0010-0000-0000-000005000000}" name="Upper Confidence Bound(observed)" dataDxfId="0">
      <calculatedColumnFormula>C2+_xlfn.FORECAST.ETS.CONFINT(A2,$B$2:$B$9,$A$2:$A$9,0.95,1,1)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85" zoomScaleNormal="85" workbookViewId="0">
      <selection activeCell="A2" sqref="A2:J2"/>
    </sheetView>
  </sheetViews>
  <sheetFormatPr defaultRowHeight="15" x14ac:dyDescent="0.25"/>
  <cols>
    <col min="1" max="1" width="3.28515625" customWidth="1"/>
    <col min="2" max="2" width="9.42578125" customWidth="1"/>
    <col min="3" max="3" width="11.7109375" customWidth="1"/>
    <col min="4" max="4" width="9" customWidth="1"/>
    <col min="5" max="5" width="10.28515625" customWidth="1"/>
    <col min="6" max="6" width="9.42578125" customWidth="1"/>
    <col min="7" max="7" width="11.140625" customWidth="1"/>
    <col min="8" max="8" width="11" customWidth="1"/>
    <col min="9" max="9" width="10.140625" customWidth="1"/>
    <col min="10" max="10" width="9.7109375" customWidth="1"/>
    <col min="11" max="11" width="11.85546875" customWidth="1"/>
    <col min="12" max="12" width="11.7109375" customWidth="1"/>
    <col min="13" max="13" width="12.42578125" customWidth="1"/>
    <col min="14" max="14" width="10.7109375" customWidth="1"/>
    <col min="15" max="15" width="11.140625" customWidth="1"/>
    <col min="16" max="16" width="16.7109375" customWidth="1"/>
    <col min="17" max="19" width="11.28515625" bestFit="1" customWidth="1"/>
    <col min="20" max="20" width="11.5703125" customWidth="1"/>
  </cols>
  <sheetData>
    <row r="1" spans="1:20" ht="18.75" x14ac:dyDescent="0.3">
      <c r="B1" s="11"/>
      <c r="C1" s="29" t="s">
        <v>69</v>
      </c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0" ht="12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6"/>
      <c r="L2" s="6"/>
      <c r="M2" s="6"/>
      <c r="N2" s="6"/>
      <c r="O2" s="6"/>
      <c r="P2" s="7"/>
    </row>
    <row r="3" spans="1:20" ht="90" x14ac:dyDescent="0.25">
      <c r="A3" t="s">
        <v>2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</v>
      </c>
      <c r="H3" s="4" t="s">
        <v>0</v>
      </c>
      <c r="I3" s="1" t="s">
        <v>18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15</v>
      </c>
      <c r="O3" s="1" t="s">
        <v>16</v>
      </c>
      <c r="P3" s="1" t="s">
        <v>17</v>
      </c>
    </row>
    <row r="4" spans="1:20" x14ac:dyDescent="0.25">
      <c r="A4">
        <v>0</v>
      </c>
      <c r="B4" s="2">
        <v>40000</v>
      </c>
      <c r="C4" s="2"/>
      <c r="D4" s="2">
        <f>B4</f>
        <v>40000</v>
      </c>
      <c r="E4" s="2">
        <v>0</v>
      </c>
      <c r="F4" s="2"/>
      <c r="G4" s="2"/>
      <c r="H4" s="2"/>
      <c r="I4" s="2"/>
      <c r="J4" s="2"/>
      <c r="K4" s="2"/>
      <c r="L4" s="8">
        <f>B4+E4</f>
        <v>40000</v>
      </c>
      <c r="M4" s="2">
        <f>K4+L4</f>
        <v>40000</v>
      </c>
      <c r="N4" s="13"/>
      <c r="Q4" s="8"/>
      <c r="R4" s="8"/>
      <c r="S4" s="8"/>
      <c r="T4" s="8"/>
    </row>
    <row r="5" spans="1:20" x14ac:dyDescent="0.25">
      <c r="A5">
        <v>1</v>
      </c>
      <c r="B5" s="2">
        <v>0</v>
      </c>
      <c r="C5" s="2">
        <v>30000</v>
      </c>
      <c r="D5" s="2">
        <v>30000</v>
      </c>
      <c r="E5" s="2">
        <v>1000</v>
      </c>
      <c r="F5" s="2">
        <f>-(D5-D4)</f>
        <v>10000</v>
      </c>
      <c r="G5" s="3">
        <v>19000</v>
      </c>
      <c r="H5" s="2">
        <v>9000</v>
      </c>
      <c r="I5" s="2">
        <v>0</v>
      </c>
      <c r="J5" s="2">
        <f>(F5*constants!$B$3)</f>
        <v>2000</v>
      </c>
      <c r="K5" s="5">
        <f>(G5-H5-I5)*(1-constants!$B$3)+J5</f>
        <v>10000</v>
      </c>
      <c r="L5" s="3">
        <f>(C5+E5)*(1-constants!$B$3)+(D5*constants!$B$3)+$E$4*constants!$B$3</f>
        <v>30800</v>
      </c>
      <c r="M5" s="2">
        <f>L5+K5</f>
        <v>40800</v>
      </c>
      <c r="N5" s="12">
        <f>NPV(constants!$B$4,M5)-$M$4</f>
        <v>-2222.2222222222263</v>
      </c>
      <c r="O5" s="12">
        <f>-PMT($N$4,A5,N5)</f>
        <v>-2222.2222222222263</v>
      </c>
      <c r="P5" s="10">
        <f>IRRs!B10</f>
        <v>2.0000000000000018E-2</v>
      </c>
      <c r="Q5" s="3"/>
      <c r="R5" s="3"/>
      <c r="S5" s="3"/>
      <c r="T5" s="3"/>
    </row>
    <row r="6" spans="1:20" x14ac:dyDescent="0.25">
      <c r="A6">
        <v>2</v>
      </c>
      <c r="B6" s="2">
        <v>0</v>
      </c>
      <c r="C6" s="2">
        <v>20000</v>
      </c>
      <c r="D6" s="2">
        <v>15000</v>
      </c>
      <c r="E6" s="2">
        <v>1000</v>
      </c>
      <c r="F6" s="2">
        <f t="shared" ref="F6:F9" si="0">-(D6-D5)</f>
        <v>15000</v>
      </c>
      <c r="G6" s="3">
        <v>19100</v>
      </c>
      <c r="H6" s="2">
        <v>9110</v>
      </c>
      <c r="I6" s="2">
        <f>I5*(1+constants!$B$12)</f>
        <v>0</v>
      </c>
      <c r="J6" s="2">
        <f>(F6*constants!$B$3)</f>
        <v>3000</v>
      </c>
      <c r="K6" s="5">
        <f>(G6-H6-I6)*(1-constants!$B$3)+J6</f>
        <v>10992</v>
      </c>
      <c r="L6" s="3">
        <f>(C6+E6)*(1-constants!$B$3)+(D6*constants!$B$3)+$E$4*constants!$B$3</f>
        <v>19800</v>
      </c>
      <c r="M6" s="2">
        <f t="shared" ref="M6:M29" si="1">L6+K6</f>
        <v>30792</v>
      </c>
      <c r="N6" s="12">
        <f>NPV(constants!$B$4,K5,M6)-$M$4</f>
        <v>-4341.5637860082352</v>
      </c>
      <c r="O6" s="12">
        <f t="shared" ref="O6:O29" si="2">-PMT($N$4,A6,N6)</f>
        <v>-2170.7818930041176</v>
      </c>
      <c r="P6" s="10">
        <f>IRRs!C10</f>
        <v>1.1242066255038319E-2</v>
      </c>
      <c r="Q6" s="10"/>
      <c r="R6" s="3"/>
      <c r="S6" s="3"/>
      <c r="T6" s="3"/>
    </row>
    <row r="7" spans="1:20" x14ac:dyDescent="0.25">
      <c r="A7">
        <v>3</v>
      </c>
      <c r="B7" s="2">
        <v>0</v>
      </c>
      <c r="C7" s="2">
        <v>15000</v>
      </c>
      <c r="D7" s="2">
        <v>5000</v>
      </c>
      <c r="E7" s="2">
        <v>1000</v>
      </c>
      <c r="F7" s="2">
        <f t="shared" si="0"/>
        <v>10000</v>
      </c>
      <c r="G7" s="3">
        <v>19200</v>
      </c>
      <c r="H7" s="2">
        <v>9330</v>
      </c>
      <c r="I7" s="2">
        <f>I6*(1+constants!$B$12)</f>
        <v>0</v>
      </c>
      <c r="J7" s="2">
        <f>(F7*constants!$B$3)</f>
        <v>2000</v>
      </c>
      <c r="K7" s="5">
        <f>(G7-H7-I7)*(1-constants!$B$3)+J7</f>
        <v>9896</v>
      </c>
      <c r="L7" s="3">
        <f>(C7+E7)*(1-constants!$B$3)+(D7*constants!$B$3)+$E$4*constants!$B$3</f>
        <v>13800</v>
      </c>
      <c r="M7" s="2">
        <f t="shared" si="1"/>
        <v>23696</v>
      </c>
      <c r="N7" s="12">
        <f>NPV(constants!$B$4,$K$5:K6,M7)-$M$4</f>
        <v>-2506.2236447695977</v>
      </c>
      <c r="O7" s="12">
        <f t="shared" si="2"/>
        <v>-835.40788158986595</v>
      </c>
      <c r="P7" s="10">
        <f>IRRs!D10</f>
        <v>4.9577095112996128E-2</v>
      </c>
      <c r="Q7" s="9"/>
      <c r="R7" s="9"/>
      <c r="S7" s="9"/>
      <c r="T7" s="9"/>
    </row>
    <row r="8" spans="1:20" x14ac:dyDescent="0.25">
      <c r="A8">
        <v>4</v>
      </c>
      <c r="B8" s="2">
        <v>0</v>
      </c>
      <c r="C8" s="2">
        <v>10000</v>
      </c>
      <c r="D8" s="2">
        <v>0</v>
      </c>
      <c r="E8" s="2">
        <v>1000</v>
      </c>
      <c r="F8" s="2">
        <f t="shared" si="0"/>
        <v>5000</v>
      </c>
      <c r="G8" s="3">
        <v>19300</v>
      </c>
      <c r="H8" s="2">
        <v>9660</v>
      </c>
      <c r="I8" s="2">
        <f>I7*(1+constants!$B$12)</f>
        <v>0</v>
      </c>
      <c r="J8" s="2">
        <f>(F8*constants!$B$3)</f>
        <v>1000</v>
      </c>
      <c r="K8" s="5">
        <f>(G8-H8-I8)*(1-constants!$B$3)+J8</f>
        <v>8712</v>
      </c>
      <c r="L8" s="3">
        <f>(C8+E8)*(1-constants!$B$3)+(D8*constants!$B$3)+$E$4*constants!$B$3</f>
        <v>8800</v>
      </c>
      <c r="M8" s="2">
        <f t="shared" si="1"/>
        <v>17512</v>
      </c>
      <c r="N8" s="12">
        <f>NPV(constants!$B$4,$K$5:K7,M8)-$M$4</f>
        <v>-589.2657886764573</v>
      </c>
      <c r="O8" s="12">
        <f t="shared" si="2"/>
        <v>-147.31644716911433</v>
      </c>
      <c r="P8" s="10">
        <f>IRRs!E10</f>
        <v>7.3902898861551103E-2</v>
      </c>
      <c r="S8" s="8"/>
      <c r="T8" s="8"/>
    </row>
    <row r="9" spans="1:20" x14ac:dyDescent="0.25">
      <c r="A9">
        <v>5</v>
      </c>
      <c r="B9" s="2">
        <v>0</v>
      </c>
      <c r="C9" s="2">
        <v>10000</v>
      </c>
      <c r="D9" s="2">
        <v>0</v>
      </c>
      <c r="E9" s="2">
        <v>1000</v>
      </c>
      <c r="F9" s="2">
        <f t="shared" si="0"/>
        <v>0</v>
      </c>
      <c r="G9" s="3">
        <v>19400</v>
      </c>
      <c r="H9" s="2">
        <v>10100</v>
      </c>
      <c r="I9" s="2">
        <v>0</v>
      </c>
      <c r="J9" s="2">
        <f>-(F9*constants!$B$3)</f>
        <v>0</v>
      </c>
      <c r="K9" s="5">
        <f>(G9-H9-I9)*(1-constants!$B$3)+J9</f>
        <v>7440</v>
      </c>
      <c r="L9" s="3">
        <f>(C9+E9)*(1-constants!$B$3)+(D9*constants!$B$3)+$E$4*constants!$B$3</f>
        <v>8800</v>
      </c>
      <c r="M9" s="2">
        <f t="shared" si="1"/>
        <v>16240</v>
      </c>
      <c r="N9" s="12">
        <f>NPV(constants!$B$4,$K$5:K8,M9)-$M$4</f>
        <v>3995.1426265429109</v>
      </c>
      <c r="O9" s="12">
        <f t="shared" si="2"/>
        <v>799.02852530858218</v>
      </c>
      <c r="P9" s="10">
        <f>IRRs!F8</f>
        <v>0.11508711354779733</v>
      </c>
      <c r="T9" s="8"/>
    </row>
    <row r="10" spans="1:20" x14ac:dyDescent="0.25">
      <c r="A10">
        <v>6</v>
      </c>
      <c r="B10" s="2">
        <v>0</v>
      </c>
      <c r="C10" s="2"/>
      <c r="D10" s="2"/>
      <c r="E10" s="2"/>
      <c r="F10" s="2"/>
      <c r="G10" s="3"/>
      <c r="H10" s="2"/>
      <c r="I10" s="2"/>
      <c r="J10" s="2">
        <f>-(F10*constants!$B$3)</f>
        <v>0</v>
      </c>
      <c r="K10" s="5">
        <v>0</v>
      </c>
      <c r="L10" s="3">
        <f>(C10+E10)*(1-constants!$B$3)+(D10*constants!$B$3)+$E$4*constants!B8</f>
        <v>0</v>
      </c>
      <c r="M10" s="2">
        <f t="shared" si="1"/>
        <v>0</v>
      </c>
      <c r="N10" s="12">
        <f>NPV(constants!$B$4,$K$5:K9,M10)-$M$4</f>
        <v>-1993.9895073541193</v>
      </c>
      <c r="O10" s="12">
        <f t="shared" si="2"/>
        <v>-332.33158455901986</v>
      </c>
      <c r="P10" s="10">
        <f>IRRs!G9</f>
        <v>5.9864263628699677E-2</v>
      </c>
    </row>
    <row r="11" spans="1:20" x14ac:dyDescent="0.25">
      <c r="A11">
        <v>7</v>
      </c>
      <c r="B11" s="2">
        <v>0</v>
      </c>
      <c r="C11" s="2"/>
      <c r="D11" s="2"/>
      <c r="E11" s="2"/>
      <c r="F11" s="2"/>
      <c r="G11" s="2"/>
      <c r="H11" s="2"/>
      <c r="I11" s="2"/>
      <c r="J11" s="2">
        <f>-(F11*constants!$B$3)</f>
        <v>0</v>
      </c>
      <c r="K11" s="5">
        <f>(G11-H11-I11)*(1-constants!$B$3)+J11</f>
        <v>0</v>
      </c>
      <c r="L11" s="3">
        <f>(C11+E11)*(1-constants!$B$3)+(D11*constants!$B$3)+$E$4*constants!B9</f>
        <v>0</v>
      </c>
      <c r="M11" s="2">
        <f t="shared" si="1"/>
        <v>0</v>
      </c>
      <c r="N11" s="12">
        <f>NPV(constants!$B$4,$K$5:K10,M11)-$M$4</f>
        <v>-1993.9895073541193</v>
      </c>
      <c r="O11" s="12">
        <f t="shared" si="2"/>
        <v>-284.85564390773135</v>
      </c>
      <c r="P11" s="10">
        <f>IRRs!H10</f>
        <v>5.9864263628699677E-2</v>
      </c>
    </row>
    <row r="12" spans="1:20" x14ac:dyDescent="0.25">
      <c r="A12">
        <v>8</v>
      </c>
      <c r="B12" s="2">
        <v>0</v>
      </c>
      <c r="C12" s="2"/>
      <c r="D12" s="2"/>
      <c r="E12" s="2"/>
      <c r="F12" s="2"/>
      <c r="G12" s="2"/>
      <c r="H12" s="2"/>
      <c r="I12" s="2"/>
      <c r="J12" s="2">
        <f>-(F12*constants!$B$3)</f>
        <v>0</v>
      </c>
      <c r="K12" s="5">
        <f>(G12-H12-I12)*(1-constants!$B$3)+J12</f>
        <v>0</v>
      </c>
      <c r="L12" s="3">
        <f>(C12+E12)*(1-constants!$B$3)+(D12*constants!$B$3)+$E$4*constants!B10</f>
        <v>0</v>
      </c>
      <c r="M12" s="2">
        <f t="shared" si="1"/>
        <v>0</v>
      </c>
      <c r="N12" s="12">
        <f>NPV(constants!$B$4,$K$5:K11,M12)-$M$4</f>
        <v>-1993.9895073541193</v>
      </c>
      <c r="O12" s="12">
        <f t="shared" si="2"/>
        <v>-249.24868841926491</v>
      </c>
      <c r="P12" s="10">
        <f>IRRs!I11</f>
        <v>5.9864263628699677E-2</v>
      </c>
    </row>
    <row r="13" spans="1:20" x14ac:dyDescent="0.25">
      <c r="A13">
        <v>9</v>
      </c>
      <c r="B13" s="2">
        <v>0</v>
      </c>
      <c r="C13" s="2"/>
      <c r="D13" s="2"/>
      <c r="E13" s="2"/>
      <c r="F13" s="2"/>
      <c r="G13" s="2"/>
      <c r="H13" s="2"/>
      <c r="I13" s="2"/>
      <c r="J13" s="2">
        <f>-(F13*constants!$B$3)</f>
        <v>0</v>
      </c>
      <c r="K13" s="5">
        <f>(G13-H13-I13)*(1-constants!$B$3)+J13</f>
        <v>0</v>
      </c>
      <c r="L13" s="3">
        <f>(C13+E13)*(1-constants!$B$3)+(D13*constants!$B$3)+$E$4*constants!B11</f>
        <v>0</v>
      </c>
      <c r="M13" s="2">
        <f t="shared" si="1"/>
        <v>0</v>
      </c>
      <c r="N13" s="12">
        <f>NPV(constants!$B$4,$K$5:K12,M13)-$M$4</f>
        <v>-1993.9895073541193</v>
      </c>
      <c r="O13" s="12">
        <f t="shared" si="2"/>
        <v>-221.55438970601324</v>
      </c>
      <c r="P13" s="10">
        <f>IRRs!J12</f>
        <v>5.9864263628699677E-2</v>
      </c>
    </row>
    <row r="14" spans="1:20" x14ac:dyDescent="0.25">
      <c r="A14">
        <v>10</v>
      </c>
      <c r="B14" s="2">
        <v>0</v>
      </c>
      <c r="C14" s="2"/>
      <c r="D14" s="2"/>
      <c r="E14" s="2"/>
      <c r="F14" s="2"/>
      <c r="G14" s="2"/>
      <c r="H14" s="2"/>
      <c r="I14" s="2"/>
      <c r="J14" s="2">
        <f>-(F14*constants!$B$3)</f>
        <v>0</v>
      </c>
      <c r="K14" s="5">
        <f>(G14-H14-I14)*(1-constants!$B$3)+J14</f>
        <v>0</v>
      </c>
      <c r="L14" s="3">
        <f>(C14+E14)*(1-constants!$B$3)+(D14*constants!$B$3)+$E$4*constants!B12</f>
        <v>0</v>
      </c>
      <c r="M14" s="2">
        <f t="shared" si="1"/>
        <v>0</v>
      </c>
      <c r="N14" s="12">
        <f>NPV(constants!$B$4,$K$5:K13,M14)-$M$4</f>
        <v>-1993.9895073541193</v>
      </c>
      <c r="O14" s="12">
        <f t="shared" si="2"/>
        <v>-199.39895073541192</v>
      </c>
      <c r="P14" s="10">
        <f>IRRs!K13</f>
        <v>5.9864263628699677E-2</v>
      </c>
    </row>
    <row r="15" spans="1:20" x14ac:dyDescent="0.25">
      <c r="A15">
        <v>11</v>
      </c>
      <c r="B15" s="2">
        <v>0</v>
      </c>
      <c r="C15" s="2"/>
      <c r="D15" s="2"/>
      <c r="E15" s="2"/>
      <c r="F15" s="2"/>
      <c r="G15" s="2"/>
      <c r="H15" s="2"/>
      <c r="I15" s="2"/>
      <c r="J15" s="2">
        <f>-(F15*constants!$B$3)</f>
        <v>0</v>
      </c>
      <c r="K15" s="5">
        <f>(G15-H15-I15)*(1-constants!$B$3)+J15</f>
        <v>0</v>
      </c>
      <c r="L15" s="3">
        <f>(C15+E15)*(1-constants!$B$3)+(D15*constants!$B$3)+$E$4*constants!B13</f>
        <v>0</v>
      </c>
      <c r="M15" s="2">
        <f t="shared" si="1"/>
        <v>0</v>
      </c>
      <c r="N15" s="12">
        <f>NPV(constants!$B$4,$K$5:K14,M15)-$M$4</f>
        <v>-1993.9895073541193</v>
      </c>
      <c r="O15" s="12">
        <f t="shared" si="2"/>
        <v>-181.27177339582903</v>
      </c>
      <c r="P15" s="10">
        <f>IRRs!L14</f>
        <v>5.9864263628699677E-2</v>
      </c>
    </row>
    <row r="16" spans="1:20" x14ac:dyDescent="0.25">
      <c r="A16">
        <v>12</v>
      </c>
      <c r="B16" s="2">
        <v>0</v>
      </c>
      <c r="C16" s="2"/>
      <c r="D16" s="2"/>
      <c r="E16" s="2"/>
      <c r="F16" s="2"/>
      <c r="G16" s="2"/>
      <c r="H16" s="2"/>
      <c r="I16" s="2"/>
      <c r="J16" s="2">
        <f>-(F16*constants!$B$3)</f>
        <v>0</v>
      </c>
      <c r="K16" s="5">
        <f>(G16-H16-I16)*(1-constants!$B$3)+J16</f>
        <v>0</v>
      </c>
      <c r="L16" s="3">
        <f>(C16+E16)*(1-constants!$B$3)+(D16*constants!$B$3)+$E$4*constants!B14</f>
        <v>0</v>
      </c>
      <c r="M16" s="2">
        <f t="shared" si="1"/>
        <v>0</v>
      </c>
      <c r="N16" s="12">
        <f>NPV(constants!$B$4,$K$5:K15,M16)-$M$4</f>
        <v>-1993.9895073541193</v>
      </c>
      <c r="O16" s="12">
        <f t="shared" si="2"/>
        <v>-166.16579227950993</v>
      </c>
      <c r="P16" s="10">
        <f>IRRs!M15</f>
        <v>5.9864263628699677E-2</v>
      </c>
    </row>
    <row r="17" spans="1:16" x14ac:dyDescent="0.25">
      <c r="A17">
        <v>13</v>
      </c>
      <c r="B17" s="2">
        <v>0</v>
      </c>
      <c r="C17" s="2"/>
      <c r="D17" s="2"/>
      <c r="E17" s="2"/>
      <c r="F17" s="2"/>
      <c r="G17" s="2"/>
      <c r="H17" s="2"/>
      <c r="I17" s="2"/>
      <c r="J17" s="2">
        <f>-(F17*constants!$B$3)</f>
        <v>0</v>
      </c>
      <c r="K17" s="5">
        <f>(G17-H17-I17)*(1-constants!$B$3)+J17</f>
        <v>0</v>
      </c>
      <c r="L17" s="3">
        <f>(C17+E17)*(1-constants!$B$3)+(D17*constants!$B$3)+$E$4*constants!B15</f>
        <v>0</v>
      </c>
      <c r="M17" s="2">
        <f t="shared" si="1"/>
        <v>0</v>
      </c>
      <c r="N17" s="12">
        <f>NPV(constants!$B$4,$K$5:K16,M17)-$M$4</f>
        <v>-1993.9895073541193</v>
      </c>
      <c r="O17" s="12">
        <f t="shared" si="2"/>
        <v>-153.38380825800917</v>
      </c>
      <c r="P17" s="10">
        <f>IRRs!N16</f>
        <v>5.9864263628699677E-2</v>
      </c>
    </row>
    <row r="18" spans="1:16" x14ac:dyDescent="0.25">
      <c r="A18">
        <v>14</v>
      </c>
      <c r="B18" s="2">
        <v>0</v>
      </c>
      <c r="C18" s="2"/>
      <c r="D18" s="2"/>
      <c r="E18" s="2"/>
      <c r="F18" s="2"/>
      <c r="G18" s="2"/>
      <c r="H18" s="2"/>
      <c r="I18" s="2"/>
      <c r="J18" s="2">
        <f>-(F18*constants!$B$3)</f>
        <v>0</v>
      </c>
      <c r="K18" s="5">
        <f>(G18-H18-I18)*(1-constants!$B$3)+J18</f>
        <v>0</v>
      </c>
      <c r="L18" s="3">
        <f>(C18+E18)*(1-constants!$B$3)+(D18*constants!$B$3)+$E$4*constants!B16</f>
        <v>0</v>
      </c>
      <c r="M18" s="2">
        <f t="shared" si="1"/>
        <v>0</v>
      </c>
      <c r="N18" s="12">
        <f>NPV(constants!$B$4,$K$5:K17,M18)-$M$4</f>
        <v>-1993.9895073541193</v>
      </c>
      <c r="O18" s="12">
        <f t="shared" si="2"/>
        <v>-142.42782195386567</v>
      </c>
      <c r="P18" s="10">
        <f>IRRs!O17</f>
        <v>5.9864263628699677E-2</v>
      </c>
    </row>
    <row r="19" spans="1:16" x14ac:dyDescent="0.25">
      <c r="A19">
        <v>15</v>
      </c>
      <c r="B19" s="2">
        <v>0</v>
      </c>
      <c r="C19" s="2"/>
      <c r="D19" s="2"/>
      <c r="E19" s="2"/>
      <c r="F19" s="2"/>
      <c r="G19" s="2"/>
      <c r="H19" s="2"/>
      <c r="I19" s="2"/>
      <c r="J19" s="2">
        <f>-(F19*constants!$B$3)</f>
        <v>0</v>
      </c>
      <c r="K19" s="5">
        <f>(G19-H19-I19)*(1-constants!$B$3)+J19</f>
        <v>0</v>
      </c>
      <c r="L19" s="3">
        <f>(C19+E19)*(1-constants!$B$3)+(D19*constants!$B$3)+$E$4*constants!B17</f>
        <v>0</v>
      </c>
      <c r="M19" s="2">
        <f t="shared" si="1"/>
        <v>0</v>
      </c>
      <c r="N19" s="12">
        <f>NPV(constants!$B$4,$K$5:K18,M19)-$M$4</f>
        <v>-1993.9895073541193</v>
      </c>
      <c r="O19" s="12">
        <f t="shared" si="2"/>
        <v>-132.93263382360794</v>
      </c>
      <c r="P19" s="10">
        <f>IRRs!P18</f>
        <v>5.9864263628699677E-2</v>
      </c>
    </row>
    <row r="20" spans="1:16" x14ac:dyDescent="0.25">
      <c r="A20">
        <v>16</v>
      </c>
      <c r="B20" s="2">
        <v>0</v>
      </c>
      <c r="C20" s="2"/>
      <c r="D20" s="2"/>
      <c r="E20" s="2"/>
      <c r="F20" s="2"/>
      <c r="G20" s="2"/>
      <c r="H20" s="2"/>
      <c r="I20" s="2"/>
      <c r="J20" s="2">
        <f>-(F20*constants!$B$3)</f>
        <v>0</v>
      </c>
      <c r="K20" s="5">
        <f>(G20-H20-I20)*(1-constants!$B$3)+J20</f>
        <v>0</v>
      </c>
      <c r="L20" s="3">
        <f>(C20+E20)*(1-constants!$B$3)+(D20*constants!$B$3)+$E$4*constants!B18</f>
        <v>0</v>
      </c>
      <c r="M20" s="2">
        <f t="shared" si="1"/>
        <v>0</v>
      </c>
      <c r="N20" s="12">
        <f>NPV(constants!$B$4,$K$5:K19,M20)-$M$4</f>
        <v>-1993.9895073541193</v>
      </c>
      <c r="O20" s="12">
        <f t="shared" si="2"/>
        <v>-124.62434420963245</v>
      </c>
      <c r="P20" s="10">
        <f>IRRs!Q19</f>
        <v>5.9864263628699677E-2</v>
      </c>
    </row>
    <row r="21" spans="1:16" x14ac:dyDescent="0.25">
      <c r="A21">
        <v>17</v>
      </c>
      <c r="B21" s="2">
        <v>0</v>
      </c>
      <c r="C21" s="2"/>
      <c r="D21" s="2"/>
      <c r="E21" s="2"/>
      <c r="F21" s="2"/>
      <c r="G21" s="2"/>
      <c r="H21" s="2"/>
      <c r="I21" s="2"/>
      <c r="J21" s="2">
        <f>-(F21*constants!$B$3)</f>
        <v>0</v>
      </c>
      <c r="K21" s="5">
        <f>(G21-H21-I21)*(1-constants!$B$3)+J21</f>
        <v>0</v>
      </c>
      <c r="L21" s="3">
        <f>(C21+E21)*(1-constants!$B$3)+(D21*constants!$B$3)+$E$4*constants!B19</f>
        <v>0</v>
      </c>
      <c r="M21" s="2">
        <f t="shared" si="1"/>
        <v>0</v>
      </c>
      <c r="N21" s="12">
        <f>NPV(constants!$B$4,$K$5:K20,M21)-$M$4</f>
        <v>-1993.9895073541193</v>
      </c>
      <c r="O21" s="12">
        <f t="shared" si="2"/>
        <v>-117.29350043259525</v>
      </c>
      <c r="P21" s="10">
        <f>IRRs!R20</f>
        <v>5.9864263628699677E-2</v>
      </c>
    </row>
    <row r="22" spans="1:16" x14ac:dyDescent="0.25">
      <c r="A22">
        <v>18</v>
      </c>
      <c r="B22" s="2">
        <v>0</v>
      </c>
      <c r="C22" s="2"/>
      <c r="D22" s="2"/>
      <c r="E22" s="2"/>
      <c r="F22" s="2"/>
      <c r="G22" s="2"/>
      <c r="H22" s="2"/>
      <c r="I22" s="2"/>
      <c r="J22" s="2">
        <f>-(F22*constants!$B$3)</f>
        <v>0</v>
      </c>
      <c r="K22" s="5">
        <f>(G22-H22-I22)*(1-constants!$B$3)+J22</f>
        <v>0</v>
      </c>
      <c r="L22" s="3">
        <f>(C22+E22)*(1-constants!$B$3)+(D22*constants!$B$3)+$E$4*constants!B20</f>
        <v>0</v>
      </c>
      <c r="M22" s="2">
        <f t="shared" si="1"/>
        <v>0</v>
      </c>
      <c r="N22" s="12">
        <f>NPV(constants!$B$4,$K$5:K21,M22)-$M$4</f>
        <v>-1993.9895073541193</v>
      </c>
      <c r="O22" s="12">
        <f t="shared" si="2"/>
        <v>-110.77719485300662</v>
      </c>
      <c r="P22" s="10">
        <f>IRRs!S21</f>
        <v>5.9864263628699677E-2</v>
      </c>
    </row>
    <row r="23" spans="1:16" x14ac:dyDescent="0.25">
      <c r="A23">
        <v>19</v>
      </c>
      <c r="B23" s="2">
        <v>0</v>
      </c>
      <c r="C23" s="2"/>
      <c r="D23" s="2"/>
      <c r="E23" s="2"/>
      <c r="F23" s="2"/>
      <c r="G23" s="2"/>
      <c r="H23" s="2"/>
      <c r="I23" s="2"/>
      <c r="J23" s="2">
        <f>-(F23*constants!$B$3)</f>
        <v>0</v>
      </c>
      <c r="K23" s="5">
        <f>(G23-H23-I23)*(1-constants!$B$3)+J23</f>
        <v>0</v>
      </c>
      <c r="L23" s="3">
        <f>(C23+E23)*(1-constants!$B$3)+(D23*constants!$B$3)+$E$4*constants!B21</f>
        <v>0</v>
      </c>
      <c r="M23" s="2">
        <f t="shared" si="1"/>
        <v>0</v>
      </c>
      <c r="N23" s="12">
        <f>NPV(constants!$B$4,$K$5:K22,M23)-$M$4</f>
        <v>-1993.9895073541193</v>
      </c>
      <c r="O23" s="12">
        <f t="shared" si="2"/>
        <v>-104.94681617653259</v>
      </c>
      <c r="P23" s="10">
        <f>IRRs!T22</f>
        <v>5.9864263628699677E-2</v>
      </c>
    </row>
    <row r="24" spans="1:16" x14ac:dyDescent="0.25">
      <c r="A24">
        <v>20</v>
      </c>
      <c r="B24" s="2">
        <v>0</v>
      </c>
      <c r="C24" s="2"/>
      <c r="D24" s="2"/>
      <c r="E24" s="2"/>
      <c r="F24" s="2"/>
      <c r="G24" s="2"/>
      <c r="H24" s="2"/>
      <c r="I24" s="2"/>
      <c r="J24" s="2">
        <f>-(F24*constants!$B$3)</f>
        <v>0</v>
      </c>
      <c r="K24" s="5">
        <f>(G24-H24-I24)*(1-constants!$B$3)+J24</f>
        <v>0</v>
      </c>
      <c r="L24" s="3">
        <f>(C24+E24)*(1-constants!$B$3)+(D24*constants!$B$3)+$E$4*constants!B22</f>
        <v>0</v>
      </c>
      <c r="M24" s="2">
        <f t="shared" si="1"/>
        <v>0</v>
      </c>
      <c r="N24" s="12">
        <f>NPV(constants!$B$4,$K$5:K23,M24)-$M$4</f>
        <v>-1993.9895073541193</v>
      </c>
      <c r="O24" s="12">
        <f t="shared" si="2"/>
        <v>-99.699475367705958</v>
      </c>
      <c r="P24" s="10">
        <f>IRRs!U23</f>
        <v>5.9864263628699677E-2</v>
      </c>
    </row>
    <row r="25" spans="1:16" x14ac:dyDescent="0.25">
      <c r="A25">
        <v>21</v>
      </c>
      <c r="B25" s="2">
        <v>0</v>
      </c>
      <c r="C25" s="2"/>
      <c r="D25" s="2"/>
      <c r="E25" s="2"/>
      <c r="F25" s="2"/>
      <c r="G25" s="2"/>
      <c r="H25" s="2"/>
      <c r="I25" s="2"/>
      <c r="J25" s="2">
        <f>-(F25*constants!$B$3)</f>
        <v>0</v>
      </c>
      <c r="K25" s="5">
        <f>(G25-H25-I25)*(1-constants!$B$3)+J25</f>
        <v>0</v>
      </c>
      <c r="L25" s="3">
        <f>(C25+E25)*(1-constants!$B$3)+(D25*constants!$B$3)+$E$4*constants!B23</f>
        <v>0</v>
      </c>
      <c r="M25" s="2">
        <f t="shared" si="1"/>
        <v>0</v>
      </c>
      <c r="N25" s="12">
        <f>NPV(constants!$B$4,$K$5:K24,M25)-$M$4</f>
        <v>-1993.9895073541193</v>
      </c>
      <c r="O25" s="12">
        <f t="shared" si="2"/>
        <v>-94.951881302577107</v>
      </c>
      <c r="P25" s="10">
        <f>IRRs!V24</f>
        <v>5.9864263628699677E-2</v>
      </c>
    </row>
    <row r="26" spans="1:16" x14ac:dyDescent="0.25">
      <c r="A26">
        <v>22</v>
      </c>
      <c r="B26" s="2">
        <v>0</v>
      </c>
      <c r="C26" s="2"/>
      <c r="D26" s="2"/>
      <c r="E26" s="2"/>
      <c r="F26" s="2"/>
      <c r="G26" s="2"/>
      <c r="H26" s="2"/>
      <c r="I26" s="2"/>
      <c r="J26" s="2">
        <f>-(F26*constants!$B$3)</f>
        <v>0</v>
      </c>
      <c r="K26" s="5">
        <f>(G26-H26-I26)*(1-constants!$B$3)+J26</f>
        <v>0</v>
      </c>
      <c r="L26" s="3">
        <f>(C26)*(1-constants!$B$3)+(D26*constants!$B$3)+E26</f>
        <v>0</v>
      </c>
      <c r="M26" s="2">
        <f t="shared" si="1"/>
        <v>0</v>
      </c>
      <c r="N26" s="12">
        <f>NPV(constants!$B$4,$K$5:K25,M26)-$M$4</f>
        <v>-1993.9895073541193</v>
      </c>
      <c r="O26" s="12">
        <f t="shared" si="2"/>
        <v>-90.635886697914515</v>
      </c>
      <c r="P26" s="10">
        <f>IRRs!W25</f>
        <v>5.9864263628699677E-2</v>
      </c>
    </row>
    <row r="27" spans="1:16" x14ac:dyDescent="0.25">
      <c r="A27">
        <v>23</v>
      </c>
      <c r="B27" s="2">
        <v>0</v>
      </c>
      <c r="C27" s="2"/>
      <c r="D27" s="2"/>
      <c r="E27" s="2"/>
      <c r="F27" s="2"/>
      <c r="G27" s="2"/>
      <c r="H27" s="2"/>
      <c r="I27" s="2"/>
      <c r="J27" s="2">
        <f>-(F27*constants!$B$3)</f>
        <v>0</v>
      </c>
      <c r="K27" s="5">
        <f>(G27-H27-I27)*(1-constants!$B$3)+J27</f>
        <v>0</v>
      </c>
      <c r="L27" s="3">
        <f>(C27)*(1-constants!$B$3)+(D27*constants!$B$3)+E27</f>
        <v>0</v>
      </c>
      <c r="M27" s="2">
        <f t="shared" si="1"/>
        <v>0</v>
      </c>
      <c r="N27" s="12">
        <f>NPV(constants!$B$4,$K$5:K26,M27)-$M$4</f>
        <v>-1993.9895073541193</v>
      </c>
      <c r="O27" s="12">
        <f t="shared" si="2"/>
        <v>-86.695195971918224</v>
      </c>
      <c r="P27" s="10">
        <f>IRRs!X26</f>
        <v>5.9864263628699677E-2</v>
      </c>
    </row>
    <row r="28" spans="1:16" x14ac:dyDescent="0.25">
      <c r="A28">
        <v>24</v>
      </c>
      <c r="B28" s="2">
        <v>0</v>
      </c>
      <c r="C28" s="2"/>
      <c r="D28" s="2"/>
      <c r="E28" s="2"/>
      <c r="F28" s="2"/>
      <c r="G28" s="2"/>
      <c r="H28" s="2"/>
      <c r="I28" s="2"/>
      <c r="J28" s="2">
        <f>-(F28*constants!$B$3)</f>
        <v>0</v>
      </c>
      <c r="K28" s="5">
        <f>(G28-H28-I28)*(1-constants!$B$3)+J28</f>
        <v>0</v>
      </c>
      <c r="L28" s="3">
        <f>(C28)*(1-constants!$B$3)+(D28*constants!$B$3)+E28</f>
        <v>0</v>
      </c>
      <c r="M28" s="2">
        <f t="shared" si="1"/>
        <v>0</v>
      </c>
      <c r="N28" s="12">
        <f>NPV(constants!$B$4,$K$5:K27,M28)-$M$4</f>
        <v>-1993.9895073541193</v>
      </c>
      <c r="O28" s="12">
        <f t="shared" si="2"/>
        <v>-83.082896139754965</v>
      </c>
      <c r="P28" s="10">
        <f>IRRs!Y27</f>
        <v>5.9864263628699677E-2</v>
      </c>
    </row>
    <row r="29" spans="1:16" x14ac:dyDescent="0.25">
      <c r="A29">
        <v>25</v>
      </c>
      <c r="B29" s="2">
        <v>0</v>
      </c>
      <c r="C29" s="2"/>
      <c r="D29" s="2"/>
      <c r="E29" s="2"/>
      <c r="F29" s="2"/>
      <c r="G29" s="2"/>
      <c r="H29" s="2"/>
      <c r="I29" s="2"/>
      <c r="J29" s="2">
        <f>-(F29*constants!$B$3)</f>
        <v>0</v>
      </c>
      <c r="K29" s="5">
        <f>(G29-H29-I29)*(1-constants!$B$3)+J29</f>
        <v>0</v>
      </c>
      <c r="L29" s="3">
        <f>(C29)*(1-constants!$B$3)+(D29*constants!$B$3)+E29</f>
        <v>0</v>
      </c>
      <c r="M29" s="2">
        <f t="shared" si="1"/>
        <v>0</v>
      </c>
      <c r="N29" s="12">
        <f>NPV(constants!$B$4,$K$5:K28,M29)-$M$4</f>
        <v>-1993.9895073541193</v>
      </c>
      <c r="O29" s="12">
        <f t="shared" si="2"/>
        <v>-79.759580294164778</v>
      </c>
      <c r="P29" s="10">
        <f>IRRs!Z28</f>
        <v>5.3480070450065531E-2</v>
      </c>
    </row>
    <row r="30" spans="1:16" x14ac:dyDescent="0.25">
      <c r="F30" s="2"/>
    </row>
    <row r="31" spans="1:16" x14ac:dyDescent="0.25">
      <c r="F31" s="2"/>
    </row>
    <row r="32" spans="1:1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</sheetData>
  <mergeCells count="2">
    <mergeCell ref="C1:P1"/>
    <mergeCell ref="A2:J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workbookViewId="0"/>
  </sheetViews>
  <sheetFormatPr defaultRowHeight="15" x14ac:dyDescent="0.25"/>
  <sheetData>
    <row r="1" spans="1:2" x14ac:dyDescent="0.25">
      <c r="A1" s="11" t="s">
        <v>44</v>
      </c>
    </row>
    <row r="2" spans="1:2" x14ac:dyDescent="0.25">
      <c r="A2" s="11" t="s">
        <v>45</v>
      </c>
    </row>
    <row r="3" spans="1:2" x14ac:dyDescent="0.25">
      <c r="A3">
        <v>0</v>
      </c>
    </row>
    <row r="4" spans="1:2" x14ac:dyDescent="0.25">
      <c r="A4">
        <v>1</v>
      </c>
      <c r="B4">
        <v>9000</v>
      </c>
    </row>
    <row r="5" spans="1:2" x14ac:dyDescent="0.25">
      <c r="A5">
        <v>2</v>
      </c>
      <c r="B5">
        <f>B4*(1+constants!$B$11)</f>
        <v>9090</v>
      </c>
    </row>
    <row r="6" spans="1:2" x14ac:dyDescent="0.25">
      <c r="A6">
        <v>3</v>
      </c>
      <c r="B6">
        <f>B5*(1+constants!$B$11)</f>
        <v>9180.9</v>
      </c>
    </row>
    <row r="7" spans="1:2" x14ac:dyDescent="0.25">
      <c r="A7">
        <v>4</v>
      </c>
      <c r="B7">
        <f>B6*(1+constants!$B$11)</f>
        <v>9272.7089999999989</v>
      </c>
    </row>
    <row r="8" spans="1:2" x14ac:dyDescent="0.25">
      <c r="A8">
        <v>5</v>
      </c>
      <c r="B8">
        <f>B7*(1+constants!$B$11)</f>
        <v>9365.4360899999992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"/>
  <sheetViews>
    <sheetView topLeftCell="B1" workbookViewId="0">
      <selection activeCell="B2" sqref="B1:B2"/>
    </sheetView>
  </sheetViews>
  <sheetFormatPr defaultRowHeight="15" x14ac:dyDescent="0.25"/>
  <sheetData>
    <row r="1" spans="1:3" x14ac:dyDescent="0.25">
      <c r="A1" t="s">
        <v>40</v>
      </c>
      <c r="B1" s="11" t="s">
        <v>58</v>
      </c>
    </row>
    <row r="2" spans="1:3" x14ac:dyDescent="0.25">
      <c r="B2" s="11" t="s">
        <v>45</v>
      </c>
    </row>
    <row r="3" spans="1:3" x14ac:dyDescent="0.25">
      <c r="B3">
        <v>0</v>
      </c>
    </row>
    <row r="4" spans="1:3" x14ac:dyDescent="0.25">
      <c r="B4">
        <v>1</v>
      </c>
      <c r="C4">
        <v>300</v>
      </c>
    </row>
    <row r="5" spans="1:3" x14ac:dyDescent="0.25">
      <c r="B5">
        <v>2</v>
      </c>
      <c r="C5">
        <v>305</v>
      </c>
    </row>
    <row r="6" spans="1:3" x14ac:dyDescent="0.25">
      <c r="B6">
        <v>3</v>
      </c>
      <c r="C6">
        <v>310</v>
      </c>
    </row>
    <row r="7" spans="1:3" x14ac:dyDescent="0.25">
      <c r="B7">
        <v>4</v>
      </c>
      <c r="C7">
        <v>315</v>
      </c>
    </row>
    <row r="8" spans="1:3" x14ac:dyDescent="0.25">
      <c r="B8">
        <v>5</v>
      </c>
      <c r="C8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5"/>
  <sheetViews>
    <sheetView workbookViewId="0">
      <selection activeCell="B10" sqref="B10"/>
    </sheetView>
  </sheetViews>
  <sheetFormatPr defaultRowHeight="15" x14ac:dyDescent="0.25"/>
  <cols>
    <col min="2" max="2" width="11.42578125" customWidth="1"/>
    <col min="3" max="3" width="20.28515625" customWidth="1"/>
    <col min="4" max="4" width="35" customWidth="1"/>
    <col min="5" max="5" width="35.140625" customWidth="1"/>
  </cols>
  <sheetData>
    <row r="1" spans="1:5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x14ac:dyDescent="0.25">
      <c r="A2" s="18">
        <v>0</v>
      </c>
      <c r="B2" s="18">
        <v>13</v>
      </c>
    </row>
    <row r="3" spans="1:5" x14ac:dyDescent="0.25">
      <c r="A3" s="18">
        <v>1</v>
      </c>
      <c r="B3" s="18">
        <v>12</v>
      </c>
    </row>
    <row r="4" spans="1:5" x14ac:dyDescent="0.25">
      <c r="A4" s="18">
        <v>2</v>
      </c>
      <c r="B4" s="18">
        <v>13.5</v>
      </c>
    </row>
    <row r="5" spans="1:5" x14ac:dyDescent="0.25">
      <c r="A5" s="18">
        <v>3</v>
      </c>
      <c r="B5" s="18">
        <v>15</v>
      </c>
    </row>
    <row r="6" spans="1:5" x14ac:dyDescent="0.25">
      <c r="A6" s="18">
        <v>4</v>
      </c>
      <c r="B6" s="18">
        <v>16</v>
      </c>
    </row>
    <row r="7" spans="1:5" x14ac:dyDescent="0.25">
      <c r="A7" s="18">
        <v>5</v>
      </c>
      <c r="B7" s="18">
        <v>18</v>
      </c>
    </row>
    <row r="8" spans="1:5" x14ac:dyDescent="0.25">
      <c r="A8" s="18">
        <v>6</v>
      </c>
      <c r="B8" s="18">
        <v>17.5</v>
      </c>
    </row>
    <row r="9" spans="1:5" x14ac:dyDescent="0.25">
      <c r="A9" s="18">
        <v>7</v>
      </c>
      <c r="B9" s="18">
        <v>17.899999999999999</v>
      </c>
      <c r="C9" s="18">
        <v>17.899999999999999</v>
      </c>
      <c r="D9" s="19">
        <v>17.899999999999999</v>
      </c>
      <c r="E9" s="19">
        <v>17.899999999999999</v>
      </c>
    </row>
    <row r="10" spans="1:5" x14ac:dyDescent="0.25">
      <c r="A10" s="18">
        <v>8</v>
      </c>
      <c r="C10" s="18">
        <f t="shared" ref="C10:C15" si="0">_xlfn.FORECAST.ETS(A10,$B$2:$B$9,$A$2:$A$9,1,1)</f>
        <v>19.732144581938552</v>
      </c>
      <c r="D10" s="19">
        <f t="shared" ref="D10:D15" si="1">C10-_xlfn.FORECAST.ETS.CONFINT(A10,$B$2:$B$9,$A$2:$A$9,0.95,1,1)</f>
        <v>17.993061189904434</v>
      </c>
      <c r="E10" s="19">
        <f t="shared" ref="E10:E15" si="2">C10+_xlfn.FORECAST.ETS.CONFINT(A10,$B$2:$B$9,$A$2:$A$9,0.95,1,1)</f>
        <v>21.47122797397267</v>
      </c>
    </row>
    <row r="11" spans="1:5" x14ac:dyDescent="0.25">
      <c r="A11" s="18">
        <v>9</v>
      </c>
      <c r="C11" s="18">
        <f t="shared" si="0"/>
        <v>21.599629981721208</v>
      </c>
      <c r="D11" s="19">
        <f t="shared" si="1"/>
        <v>19.80617709875618</v>
      </c>
      <c r="E11" s="19">
        <f t="shared" si="2"/>
        <v>23.393082864686235</v>
      </c>
    </row>
    <row r="12" spans="1:5" x14ac:dyDescent="0.25">
      <c r="A12" s="18">
        <v>10</v>
      </c>
      <c r="C12" s="18">
        <f t="shared" si="0"/>
        <v>21.626458565994668</v>
      </c>
      <c r="D12" s="19">
        <f t="shared" si="1"/>
        <v>19.779823038891472</v>
      </c>
      <c r="E12" s="19">
        <f t="shared" si="2"/>
        <v>23.473094093097863</v>
      </c>
    </row>
    <row r="13" spans="1:5" x14ac:dyDescent="0.25">
      <c r="A13" s="18">
        <v>11</v>
      </c>
      <c r="C13" s="18">
        <f t="shared" si="0"/>
        <v>22.859931161482237</v>
      </c>
      <c r="D13" s="19">
        <f t="shared" si="1"/>
        <v>20.960793173308396</v>
      </c>
      <c r="E13" s="19">
        <f t="shared" si="2"/>
        <v>24.759069149656078</v>
      </c>
    </row>
    <row r="14" spans="1:5" x14ac:dyDescent="0.25">
      <c r="A14" s="18">
        <v>12</v>
      </c>
      <c r="C14" s="18">
        <f t="shared" si="0"/>
        <v>24.727416561264892</v>
      </c>
      <c r="D14" s="19">
        <f t="shared" si="1"/>
        <v>22.777189029336814</v>
      </c>
      <c r="E14" s="19">
        <f t="shared" si="2"/>
        <v>26.677644093192971</v>
      </c>
    </row>
    <row r="15" spans="1:5" x14ac:dyDescent="0.25">
      <c r="A15" s="18">
        <v>13</v>
      </c>
      <c r="C15" s="18">
        <f t="shared" si="0"/>
        <v>24.754245145538352</v>
      </c>
      <c r="D15" s="19">
        <f t="shared" si="1"/>
        <v>22.753846378167385</v>
      </c>
      <c r="E15" s="19">
        <f t="shared" si="2"/>
        <v>26.754643912909319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zoomScaleNormal="100" workbookViewId="0">
      <selection activeCell="C24" sqref="C23:C24"/>
    </sheetView>
  </sheetViews>
  <sheetFormatPr defaultRowHeight="15" x14ac:dyDescent="0.25"/>
  <cols>
    <col min="1" max="1" width="21.42578125" customWidth="1"/>
    <col min="2" max="2" width="6.85546875" customWidth="1"/>
  </cols>
  <sheetData>
    <row r="1" spans="1:2" x14ac:dyDescent="0.25">
      <c r="A1" s="11" t="s">
        <v>3</v>
      </c>
    </row>
    <row r="2" spans="1:2" x14ac:dyDescent="0.25">
      <c r="A2" t="s">
        <v>4</v>
      </c>
      <c r="B2" s="10">
        <v>0.1</v>
      </c>
    </row>
    <row r="3" spans="1:2" x14ac:dyDescent="0.25">
      <c r="A3" t="s">
        <v>5</v>
      </c>
      <c r="B3" s="10">
        <v>0.2</v>
      </c>
    </row>
    <row r="4" spans="1:2" x14ac:dyDescent="0.25">
      <c r="A4" t="s">
        <v>6</v>
      </c>
      <c r="B4" s="10">
        <v>0.08</v>
      </c>
    </row>
    <row r="5" spans="1:2" x14ac:dyDescent="0.25">
      <c r="A5" t="s">
        <v>7</v>
      </c>
      <c r="B5" s="10">
        <v>0.06</v>
      </c>
    </row>
    <row r="6" spans="1:2" x14ac:dyDescent="0.25">
      <c r="A6" t="s">
        <v>10</v>
      </c>
      <c r="B6" s="10">
        <v>0.01</v>
      </c>
    </row>
    <row r="7" spans="1:2" x14ac:dyDescent="0.25">
      <c r="A7" t="s">
        <v>11</v>
      </c>
      <c r="B7" s="10">
        <v>-0.02</v>
      </c>
    </row>
    <row r="8" spans="1:2" x14ac:dyDescent="0.25">
      <c r="A8" t="s">
        <v>12</v>
      </c>
      <c r="B8" s="10">
        <v>-0.02</v>
      </c>
    </row>
    <row r="9" spans="1:2" x14ac:dyDescent="0.25">
      <c r="A9" t="s">
        <v>13</v>
      </c>
      <c r="B9" s="10">
        <v>0.01</v>
      </c>
    </row>
    <row r="10" spans="1:2" x14ac:dyDescent="0.25">
      <c r="A10" t="s">
        <v>8</v>
      </c>
      <c r="B10" s="10">
        <v>0.01</v>
      </c>
    </row>
    <row r="11" spans="1:2" x14ac:dyDescent="0.25">
      <c r="A11" t="s">
        <v>9</v>
      </c>
      <c r="B11" s="10">
        <v>0.01</v>
      </c>
    </row>
    <row r="12" spans="1:2" x14ac:dyDescent="0.25">
      <c r="A12" t="s">
        <v>14</v>
      </c>
      <c r="B12" s="10">
        <v>0.01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workbookViewId="0">
      <selection sqref="A1:I1"/>
    </sheetView>
  </sheetViews>
  <sheetFormatPr defaultRowHeight="15" x14ac:dyDescent="0.25"/>
  <cols>
    <col min="1" max="1" width="27" customWidth="1"/>
    <col min="2" max="2" width="10.5703125" customWidth="1"/>
    <col min="3" max="3" width="10.140625" customWidth="1"/>
    <col min="4" max="4" width="9.5703125" bestFit="1" customWidth="1"/>
    <col min="5" max="5" width="10.7109375" customWidth="1"/>
    <col min="6" max="6" width="10.5703125" bestFit="1" customWidth="1"/>
    <col min="7" max="7" width="10" customWidth="1"/>
    <col min="8" max="8" width="9.85546875" customWidth="1"/>
    <col min="9" max="9" width="10.7109375" customWidth="1"/>
    <col min="10" max="10" width="9.85546875" customWidth="1"/>
    <col min="11" max="11" width="9.85546875" bestFit="1" customWidth="1"/>
    <col min="12" max="12" width="10" customWidth="1"/>
    <col min="13" max="13" width="10.28515625" customWidth="1"/>
    <col min="14" max="14" width="9.7109375" customWidth="1"/>
    <col min="15" max="15" width="10.28515625" customWidth="1"/>
    <col min="16" max="17" width="10" customWidth="1"/>
    <col min="18" max="19" width="9.85546875" customWidth="1"/>
    <col min="20" max="21" width="9.5703125" customWidth="1"/>
    <col min="22" max="22" width="10.140625" customWidth="1"/>
    <col min="23" max="23" width="10.42578125" customWidth="1"/>
    <col min="24" max="24" width="9.5703125" customWidth="1"/>
    <col min="25" max="25" width="10" customWidth="1"/>
    <col min="26" max="26" width="9.5703125" customWidth="1"/>
  </cols>
  <sheetData>
    <row r="1" spans="1:26" x14ac:dyDescent="0.25">
      <c r="A1" s="11" t="s">
        <v>28</v>
      </c>
      <c r="B1" s="24" t="s">
        <v>30</v>
      </c>
      <c r="C1" s="24" t="s">
        <v>31</v>
      </c>
      <c r="D1" s="24" t="s">
        <v>32</v>
      </c>
      <c r="E1" s="24" t="s">
        <v>33</v>
      </c>
      <c r="F1" s="24" t="s">
        <v>38</v>
      </c>
      <c r="G1" s="24" t="s">
        <v>39</v>
      </c>
      <c r="H1" s="24"/>
      <c r="I1" s="2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t="s">
        <v>29</v>
      </c>
      <c r="B2" s="14">
        <f>-template!L4</f>
        <v>-40000</v>
      </c>
      <c r="C2" s="14">
        <f>B2</f>
        <v>-40000</v>
      </c>
      <c r="D2" s="14">
        <f t="shared" ref="D2:Z2" si="0">C2</f>
        <v>-40000</v>
      </c>
      <c r="E2" s="14">
        <f t="shared" si="0"/>
        <v>-40000</v>
      </c>
      <c r="F2" s="14">
        <f t="shared" si="0"/>
        <v>-40000</v>
      </c>
      <c r="G2" s="14">
        <f t="shared" si="0"/>
        <v>-40000</v>
      </c>
      <c r="H2" s="14">
        <f t="shared" si="0"/>
        <v>-40000</v>
      </c>
      <c r="I2" s="14">
        <f t="shared" si="0"/>
        <v>-40000</v>
      </c>
      <c r="J2" s="14">
        <f t="shared" si="0"/>
        <v>-40000</v>
      </c>
      <c r="K2" s="14">
        <f t="shared" si="0"/>
        <v>-40000</v>
      </c>
      <c r="L2" s="14">
        <f t="shared" si="0"/>
        <v>-40000</v>
      </c>
      <c r="M2" s="14">
        <f t="shared" si="0"/>
        <v>-40000</v>
      </c>
      <c r="N2" s="14">
        <f t="shared" si="0"/>
        <v>-40000</v>
      </c>
      <c r="O2" s="14">
        <f t="shared" si="0"/>
        <v>-40000</v>
      </c>
      <c r="P2" s="14">
        <f t="shared" si="0"/>
        <v>-40000</v>
      </c>
      <c r="Q2" s="14">
        <f t="shared" si="0"/>
        <v>-40000</v>
      </c>
      <c r="R2" s="14">
        <f t="shared" si="0"/>
        <v>-40000</v>
      </c>
      <c r="S2" s="14">
        <f t="shared" si="0"/>
        <v>-40000</v>
      </c>
      <c r="T2" s="14">
        <f t="shared" si="0"/>
        <v>-40000</v>
      </c>
      <c r="U2" s="14">
        <f t="shared" si="0"/>
        <v>-40000</v>
      </c>
      <c r="V2" s="14">
        <f t="shared" si="0"/>
        <v>-40000</v>
      </c>
      <c r="W2" s="14">
        <f t="shared" si="0"/>
        <v>-40000</v>
      </c>
      <c r="X2" s="14">
        <f t="shared" si="0"/>
        <v>-40000</v>
      </c>
      <c r="Y2" s="14">
        <f t="shared" si="0"/>
        <v>-40000</v>
      </c>
      <c r="Z2" s="14">
        <f t="shared" si="0"/>
        <v>-40000</v>
      </c>
    </row>
    <row r="3" spans="1:26" x14ac:dyDescent="0.25">
      <c r="A3" t="s">
        <v>37</v>
      </c>
      <c r="B3" s="14">
        <f>template!M5</f>
        <v>40800</v>
      </c>
      <c r="C3" s="14">
        <f>template!K5</f>
        <v>10000</v>
      </c>
      <c r="D3" s="14">
        <f>C3</f>
        <v>10000</v>
      </c>
      <c r="E3" s="14">
        <f t="shared" ref="E3:U3" si="1">D3</f>
        <v>10000</v>
      </c>
      <c r="F3" s="14">
        <f t="shared" si="1"/>
        <v>10000</v>
      </c>
      <c r="G3" s="14">
        <f t="shared" si="1"/>
        <v>10000</v>
      </c>
      <c r="H3" s="14">
        <f t="shared" si="1"/>
        <v>10000</v>
      </c>
      <c r="I3" s="14">
        <f t="shared" si="1"/>
        <v>10000</v>
      </c>
      <c r="J3" s="14">
        <f t="shared" si="1"/>
        <v>10000</v>
      </c>
      <c r="K3" s="14">
        <f t="shared" si="1"/>
        <v>10000</v>
      </c>
      <c r="L3" s="14">
        <f t="shared" si="1"/>
        <v>10000</v>
      </c>
      <c r="M3" s="14">
        <f t="shared" si="1"/>
        <v>10000</v>
      </c>
      <c r="N3" s="14">
        <f t="shared" si="1"/>
        <v>10000</v>
      </c>
      <c r="O3" s="14">
        <f t="shared" si="1"/>
        <v>10000</v>
      </c>
      <c r="P3" s="14">
        <f t="shared" si="1"/>
        <v>10000</v>
      </c>
      <c r="Q3" s="14">
        <f t="shared" si="1"/>
        <v>10000</v>
      </c>
      <c r="R3" s="14">
        <f t="shared" si="1"/>
        <v>10000</v>
      </c>
      <c r="S3" s="14">
        <f t="shared" si="1"/>
        <v>10000</v>
      </c>
      <c r="T3" s="14">
        <f t="shared" si="1"/>
        <v>10000</v>
      </c>
      <c r="U3" s="14">
        <f t="shared" si="1"/>
        <v>10000</v>
      </c>
      <c r="V3" s="14">
        <f t="shared" ref="V3:V11" si="2">S3</f>
        <v>10000</v>
      </c>
      <c r="W3" s="14">
        <f t="shared" ref="W3:W11" si="3">S3</f>
        <v>10000</v>
      </c>
      <c r="X3" s="14">
        <f t="shared" ref="X3:X11" si="4">T3</f>
        <v>10000</v>
      </c>
      <c r="Y3" s="14">
        <f t="shared" ref="Y3:Y11" si="5">U3</f>
        <v>10000</v>
      </c>
      <c r="Z3" s="14">
        <f t="shared" ref="Z3:Z11" si="6">V3</f>
        <v>10000</v>
      </c>
    </row>
    <row r="4" spans="1:26" x14ac:dyDescent="0.25">
      <c r="B4" s="13"/>
      <c r="C4" s="14">
        <f>template!M6</f>
        <v>30792</v>
      </c>
      <c r="D4" s="14">
        <f>template!K6</f>
        <v>10992</v>
      </c>
      <c r="E4" s="14">
        <f>D4</f>
        <v>10992</v>
      </c>
      <c r="F4" s="14">
        <f t="shared" ref="F4:U4" si="7">E4</f>
        <v>10992</v>
      </c>
      <c r="G4" s="14">
        <f t="shared" si="7"/>
        <v>10992</v>
      </c>
      <c r="H4" s="14">
        <f t="shared" si="7"/>
        <v>10992</v>
      </c>
      <c r="I4" s="14">
        <f t="shared" si="7"/>
        <v>10992</v>
      </c>
      <c r="J4" s="14">
        <f t="shared" si="7"/>
        <v>10992</v>
      </c>
      <c r="K4" s="14">
        <f t="shared" si="7"/>
        <v>10992</v>
      </c>
      <c r="L4" s="14">
        <f t="shared" si="7"/>
        <v>10992</v>
      </c>
      <c r="M4" s="14">
        <f t="shared" si="7"/>
        <v>10992</v>
      </c>
      <c r="N4" s="14">
        <f t="shared" si="7"/>
        <v>10992</v>
      </c>
      <c r="O4" s="14">
        <f t="shared" si="7"/>
        <v>10992</v>
      </c>
      <c r="P4" s="14">
        <f t="shared" si="7"/>
        <v>10992</v>
      </c>
      <c r="Q4" s="14">
        <f t="shared" si="7"/>
        <v>10992</v>
      </c>
      <c r="R4" s="14">
        <f t="shared" si="7"/>
        <v>10992</v>
      </c>
      <c r="S4" s="14">
        <f t="shared" si="7"/>
        <v>10992</v>
      </c>
      <c r="T4" s="14">
        <f t="shared" si="7"/>
        <v>10992</v>
      </c>
      <c r="U4" s="14">
        <f t="shared" si="7"/>
        <v>10992</v>
      </c>
      <c r="V4" s="14">
        <f t="shared" si="2"/>
        <v>10992</v>
      </c>
      <c r="W4" s="14">
        <f t="shared" si="3"/>
        <v>10992</v>
      </c>
      <c r="X4" s="14">
        <f t="shared" si="4"/>
        <v>10992</v>
      </c>
      <c r="Y4" s="14">
        <f t="shared" si="5"/>
        <v>10992</v>
      </c>
      <c r="Z4" s="14">
        <f t="shared" si="6"/>
        <v>10992</v>
      </c>
    </row>
    <row r="5" spans="1:26" x14ac:dyDescent="0.25">
      <c r="B5" s="12"/>
      <c r="C5" s="13"/>
      <c r="D5" s="14">
        <f>template!M7</f>
        <v>23696</v>
      </c>
      <c r="E5" s="14">
        <f>template!K7</f>
        <v>9896</v>
      </c>
      <c r="F5" s="14">
        <f>E5</f>
        <v>9896</v>
      </c>
      <c r="G5" s="14">
        <f t="shared" ref="G5:U5" si="8">F5</f>
        <v>9896</v>
      </c>
      <c r="H5" s="14">
        <f t="shared" si="8"/>
        <v>9896</v>
      </c>
      <c r="I5" s="14">
        <f t="shared" si="8"/>
        <v>9896</v>
      </c>
      <c r="J5" s="14">
        <f t="shared" si="8"/>
        <v>9896</v>
      </c>
      <c r="K5" s="14">
        <f t="shared" si="8"/>
        <v>9896</v>
      </c>
      <c r="L5" s="14">
        <f t="shared" si="8"/>
        <v>9896</v>
      </c>
      <c r="M5" s="14">
        <f t="shared" si="8"/>
        <v>9896</v>
      </c>
      <c r="N5" s="14">
        <f t="shared" si="8"/>
        <v>9896</v>
      </c>
      <c r="O5" s="14">
        <f t="shared" si="8"/>
        <v>9896</v>
      </c>
      <c r="P5" s="14">
        <f t="shared" si="8"/>
        <v>9896</v>
      </c>
      <c r="Q5" s="14">
        <f t="shared" si="8"/>
        <v>9896</v>
      </c>
      <c r="R5" s="14">
        <f t="shared" si="8"/>
        <v>9896</v>
      </c>
      <c r="S5" s="14">
        <f t="shared" si="8"/>
        <v>9896</v>
      </c>
      <c r="T5" s="14">
        <f t="shared" si="8"/>
        <v>9896</v>
      </c>
      <c r="U5" s="14">
        <f t="shared" si="8"/>
        <v>9896</v>
      </c>
      <c r="V5" s="14">
        <f t="shared" si="2"/>
        <v>9896</v>
      </c>
      <c r="W5" s="14">
        <f t="shared" si="3"/>
        <v>9896</v>
      </c>
      <c r="X5" s="14">
        <f t="shared" si="4"/>
        <v>9896</v>
      </c>
      <c r="Y5" s="14">
        <f t="shared" si="5"/>
        <v>9896</v>
      </c>
      <c r="Z5" s="14">
        <f t="shared" si="6"/>
        <v>9896</v>
      </c>
    </row>
    <row r="6" spans="1:26" x14ac:dyDescent="0.25">
      <c r="B6" s="3"/>
      <c r="C6" s="14"/>
      <c r="D6" s="13"/>
      <c r="E6" s="14">
        <f>template!M8</f>
        <v>17512</v>
      </c>
      <c r="F6" s="14">
        <f>template!K8</f>
        <v>8712</v>
      </c>
      <c r="G6" s="14">
        <f>F6</f>
        <v>8712</v>
      </c>
      <c r="H6" s="14">
        <f t="shared" ref="H6:U6" si="9">G6</f>
        <v>8712</v>
      </c>
      <c r="I6" s="14">
        <f t="shared" si="9"/>
        <v>8712</v>
      </c>
      <c r="J6" s="14">
        <f t="shared" si="9"/>
        <v>8712</v>
      </c>
      <c r="K6" s="14">
        <f t="shared" si="9"/>
        <v>8712</v>
      </c>
      <c r="L6" s="14">
        <f t="shared" si="9"/>
        <v>8712</v>
      </c>
      <c r="M6" s="14">
        <f t="shared" si="9"/>
        <v>8712</v>
      </c>
      <c r="N6" s="14">
        <f t="shared" si="9"/>
        <v>8712</v>
      </c>
      <c r="O6" s="14">
        <f t="shared" si="9"/>
        <v>8712</v>
      </c>
      <c r="P6" s="14">
        <f t="shared" si="9"/>
        <v>8712</v>
      </c>
      <c r="Q6" s="14">
        <f t="shared" si="9"/>
        <v>8712</v>
      </c>
      <c r="R6" s="14">
        <f t="shared" si="9"/>
        <v>8712</v>
      </c>
      <c r="S6" s="14">
        <f t="shared" si="9"/>
        <v>8712</v>
      </c>
      <c r="T6" s="14">
        <f t="shared" si="9"/>
        <v>8712</v>
      </c>
      <c r="U6" s="14">
        <f t="shared" si="9"/>
        <v>8712</v>
      </c>
      <c r="V6" s="14">
        <f t="shared" si="2"/>
        <v>8712</v>
      </c>
      <c r="W6" s="14">
        <f t="shared" si="3"/>
        <v>8712</v>
      </c>
      <c r="X6" s="14">
        <f t="shared" si="4"/>
        <v>8712</v>
      </c>
      <c r="Y6" s="14">
        <f t="shared" si="5"/>
        <v>8712</v>
      </c>
      <c r="Z6" s="14">
        <f t="shared" si="6"/>
        <v>8712</v>
      </c>
    </row>
    <row r="7" spans="1:26" x14ac:dyDescent="0.25">
      <c r="B7" s="14"/>
      <c r="C7" s="14"/>
      <c r="D7" s="14"/>
      <c r="E7" s="13"/>
      <c r="F7" s="14">
        <f>template!M9</f>
        <v>16240</v>
      </c>
      <c r="G7" s="14">
        <f>template!K9</f>
        <v>7440</v>
      </c>
      <c r="H7" s="14">
        <f>G7</f>
        <v>7440</v>
      </c>
      <c r="I7" s="14">
        <f t="shared" ref="I7:U7" si="10">H7</f>
        <v>7440</v>
      </c>
      <c r="J7" s="14">
        <f t="shared" si="10"/>
        <v>7440</v>
      </c>
      <c r="K7" s="14">
        <f t="shared" si="10"/>
        <v>7440</v>
      </c>
      <c r="L7" s="14">
        <f t="shared" si="10"/>
        <v>7440</v>
      </c>
      <c r="M7" s="14">
        <f t="shared" si="10"/>
        <v>7440</v>
      </c>
      <c r="N7" s="14">
        <f t="shared" si="10"/>
        <v>7440</v>
      </c>
      <c r="O7" s="14">
        <f t="shared" si="10"/>
        <v>7440</v>
      </c>
      <c r="P7" s="14">
        <f t="shared" si="10"/>
        <v>7440</v>
      </c>
      <c r="Q7" s="14">
        <f t="shared" si="10"/>
        <v>7440</v>
      </c>
      <c r="R7" s="14">
        <f t="shared" si="10"/>
        <v>7440</v>
      </c>
      <c r="S7" s="14">
        <f t="shared" si="10"/>
        <v>7440</v>
      </c>
      <c r="T7" s="14">
        <f t="shared" si="10"/>
        <v>7440</v>
      </c>
      <c r="U7" s="14">
        <f t="shared" si="10"/>
        <v>7440</v>
      </c>
      <c r="V7" s="14">
        <f t="shared" si="2"/>
        <v>7440</v>
      </c>
      <c r="W7" s="14">
        <f t="shared" si="3"/>
        <v>7440</v>
      </c>
      <c r="X7" s="14">
        <f t="shared" si="4"/>
        <v>7440</v>
      </c>
      <c r="Y7" s="14">
        <f t="shared" si="5"/>
        <v>7440</v>
      </c>
      <c r="Z7" s="14">
        <f t="shared" si="6"/>
        <v>7440</v>
      </c>
    </row>
    <row r="8" spans="1:26" x14ac:dyDescent="0.25">
      <c r="A8" t="s">
        <v>35</v>
      </c>
      <c r="B8" s="3">
        <f>template!N5</f>
        <v>-2222.2222222222263</v>
      </c>
      <c r="C8" s="3">
        <f>template!N6</f>
        <v>-4341.5637860082352</v>
      </c>
      <c r="D8" s="3">
        <f>template!N7</f>
        <v>-2506.2236447695977</v>
      </c>
      <c r="E8" s="3">
        <f>template!N8</f>
        <v>-589.2657886764573</v>
      </c>
      <c r="F8" s="13">
        <f>IRR(F2:F7)</f>
        <v>0.11508711354779733</v>
      </c>
      <c r="G8" s="14">
        <f>template!M10</f>
        <v>0</v>
      </c>
      <c r="H8" s="14">
        <f>template!K10</f>
        <v>0</v>
      </c>
      <c r="I8" s="14">
        <f>H8</f>
        <v>0</v>
      </c>
      <c r="J8" s="14">
        <f t="shared" ref="J8:U8" si="11">I8</f>
        <v>0</v>
      </c>
      <c r="K8" s="14">
        <f t="shared" si="11"/>
        <v>0</v>
      </c>
      <c r="L8" s="14">
        <f t="shared" si="11"/>
        <v>0</v>
      </c>
      <c r="M8" s="14">
        <f t="shared" si="11"/>
        <v>0</v>
      </c>
      <c r="N8" s="14">
        <f t="shared" si="11"/>
        <v>0</v>
      </c>
      <c r="O8" s="14">
        <f t="shared" si="11"/>
        <v>0</v>
      </c>
      <c r="P8" s="14">
        <f t="shared" si="11"/>
        <v>0</v>
      </c>
      <c r="Q8" s="14">
        <f t="shared" si="11"/>
        <v>0</v>
      </c>
      <c r="R8" s="14">
        <f t="shared" si="11"/>
        <v>0</v>
      </c>
      <c r="S8" s="14">
        <f t="shared" si="11"/>
        <v>0</v>
      </c>
      <c r="T8" s="14">
        <f t="shared" si="11"/>
        <v>0</v>
      </c>
      <c r="U8" s="14">
        <f t="shared" si="11"/>
        <v>0</v>
      </c>
      <c r="V8" s="14">
        <f t="shared" si="2"/>
        <v>0</v>
      </c>
      <c r="W8" s="14">
        <f t="shared" si="3"/>
        <v>0</v>
      </c>
      <c r="X8" s="14">
        <f t="shared" si="4"/>
        <v>0</v>
      </c>
      <c r="Y8" s="14">
        <f t="shared" si="5"/>
        <v>0</v>
      </c>
      <c r="Z8" s="14">
        <f t="shared" si="6"/>
        <v>0</v>
      </c>
    </row>
    <row r="9" spans="1:26" x14ac:dyDescent="0.25">
      <c r="A9" t="s">
        <v>36</v>
      </c>
      <c r="B9" s="3">
        <f>template!O5</f>
        <v>-2222.2222222222263</v>
      </c>
      <c r="C9" s="3">
        <f>template!O6</f>
        <v>-2170.7818930041176</v>
      </c>
      <c r="D9" s="3">
        <f>template!O7</f>
        <v>-835.40788158986595</v>
      </c>
      <c r="E9" s="3">
        <f>template!O8</f>
        <v>-147.31644716911433</v>
      </c>
      <c r="F9" s="14"/>
      <c r="G9" s="15">
        <f>IRR(G2:G8)</f>
        <v>5.9864263628699677E-2</v>
      </c>
      <c r="H9" s="14">
        <f>template!M11</f>
        <v>0</v>
      </c>
      <c r="I9" s="14">
        <f>template!K11</f>
        <v>0</v>
      </c>
      <c r="J9" s="14">
        <f>I9</f>
        <v>0</v>
      </c>
      <c r="K9" s="14">
        <f t="shared" ref="K9:U9" si="12">J9</f>
        <v>0</v>
      </c>
      <c r="L9" s="14"/>
      <c r="M9" s="14">
        <f t="shared" si="12"/>
        <v>0</v>
      </c>
      <c r="N9" s="14">
        <f t="shared" si="12"/>
        <v>0</v>
      </c>
      <c r="O9" s="14">
        <f t="shared" si="12"/>
        <v>0</v>
      </c>
      <c r="P9" s="14">
        <f t="shared" si="12"/>
        <v>0</v>
      </c>
      <c r="Q9" s="14">
        <f t="shared" si="12"/>
        <v>0</v>
      </c>
      <c r="R9" s="14">
        <f t="shared" si="12"/>
        <v>0</v>
      </c>
      <c r="S9" s="14">
        <f t="shared" si="12"/>
        <v>0</v>
      </c>
      <c r="T9" s="14">
        <f t="shared" si="12"/>
        <v>0</v>
      </c>
      <c r="U9" s="14">
        <f t="shared" si="12"/>
        <v>0</v>
      </c>
      <c r="V9" s="14">
        <f t="shared" si="2"/>
        <v>0</v>
      </c>
      <c r="W9" s="14">
        <f t="shared" si="3"/>
        <v>0</v>
      </c>
      <c r="X9" s="14">
        <f t="shared" si="4"/>
        <v>0</v>
      </c>
      <c r="Y9" s="14">
        <f t="shared" si="5"/>
        <v>0</v>
      </c>
      <c r="Z9" s="14">
        <f t="shared" si="6"/>
        <v>0</v>
      </c>
    </row>
    <row r="10" spans="1:26" x14ac:dyDescent="0.25">
      <c r="A10" t="s">
        <v>34</v>
      </c>
      <c r="B10" s="10">
        <f>IRR(B2:B3)</f>
        <v>2.0000000000000018E-2</v>
      </c>
      <c r="C10" s="10">
        <f>IRR(C2:C4)</f>
        <v>1.1242066255038319E-2</v>
      </c>
      <c r="D10" s="10">
        <f>IRR(D2:D5)</f>
        <v>4.9577095112996128E-2</v>
      </c>
      <c r="E10" s="10">
        <f>IRR(E2:E6)</f>
        <v>7.3902898861551103E-2</v>
      </c>
      <c r="F10" s="14"/>
      <c r="G10" s="14"/>
      <c r="H10" s="10">
        <f>IRR(H2:H9)</f>
        <v>5.9864263628699677E-2</v>
      </c>
      <c r="I10" s="14">
        <f>template!M12</f>
        <v>0</v>
      </c>
      <c r="J10" s="14">
        <f>template!K12</f>
        <v>0</v>
      </c>
      <c r="K10" s="14">
        <f>J10</f>
        <v>0</v>
      </c>
      <c r="L10" s="14">
        <f t="shared" ref="L10:U10" si="13">K10</f>
        <v>0</v>
      </c>
      <c r="M10" s="14">
        <f t="shared" si="13"/>
        <v>0</v>
      </c>
      <c r="N10" s="14">
        <f t="shared" si="13"/>
        <v>0</v>
      </c>
      <c r="O10" s="14">
        <f t="shared" si="13"/>
        <v>0</v>
      </c>
      <c r="P10" s="14">
        <f t="shared" si="13"/>
        <v>0</v>
      </c>
      <c r="Q10" s="14">
        <f t="shared" si="13"/>
        <v>0</v>
      </c>
      <c r="R10" s="14">
        <f t="shared" si="13"/>
        <v>0</v>
      </c>
      <c r="S10" s="14">
        <f t="shared" si="13"/>
        <v>0</v>
      </c>
      <c r="T10" s="14">
        <f t="shared" si="13"/>
        <v>0</v>
      </c>
      <c r="U10" s="14">
        <f t="shared" si="13"/>
        <v>0</v>
      </c>
      <c r="V10" s="14">
        <f t="shared" si="2"/>
        <v>0</v>
      </c>
      <c r="W10" s="14">
        <f t="shared" si="3"/>
        <v>0</v>
      </c>
      <c r="X10" s="14">
        <f t="shared" si="4"/>
        <v>0</v>
      </c>
      <c r="Y10" s="14">
        <f t="shared" si="5"/>
        <v>0</v>
      </c>
      <c r="Z10" s="14">
        <f t="shared" si="6"/>
        <v>0</v>
      </c>
    </row>
    <row r="11" spans="1:26" x14ac:dyDescent="0.25">
      <c r="B11" s="14"/>
      <c r="C11" s="14"/>
      <c r="D11" s="14"/>
      <c r="E11" s="14"/>
      <c r="F11" s="14"/>
      <c r="G11" s="14"/>
      <c r="H11" s="14"/>
      <c r="I11" s="10">
        <f>IRR(I2:I10)</f>
        <v>5.9864263628699677E-2</v>
      </c>
      <c r="J11" s="14">
        <f>template!M13</f>
        <v>0</v>
      </c>
      <c r="K11" s="14">
        <f>template!K13</f>
        <v>0</v>
      </c>
      <c r="L11" s="14">
        <f>K11</f>
        <v>0</v>
      </c>
      <c r="M11" s="14">
        <f t="shared" ref="M11:U11" si="14">L11</f>
        <v>0</v>
      </c>
      <c r="N11" s="14">
        <f t="shared" si="14"/>
        <v>0</v>
      </c>
      <c r="O11" s="14">
        <f t="shared" si="14"/>
        <v>0</v>
      </c>
      <c r="P11" s="14">
        <f t="shared" si="14"/>
        <v>0</v>
      </c>
      <c r="Q11" s="14">
        <f t="shared" si="14"/>
        <v>0</v>
      </c>
      <c r="R11" s="14">
        <f t="shared" si="14"/>
        <v>0</v>
      </c>
      <c r="S11" s="14">
        <f t="shared" si="14"/>
        <v>0</v>
      </c>
      <c r="T11" s="14">
        <f t="shared" si="14"/>
        <v>0</v>
      </c>
      <c r="U11" s="14">
        <f t="shared" si="14"/>
        <v>0</v>
      </c>
      <c r="V11" s="14">
        <f t="shared" si="2"/>
        <v>0</v>
      </c>
      <c r="W11" s="14">
        <f t="shared" si="3"/>
        <v>0</v>
      </c>
      <c r="X11" s="14">
        <f t="shared" si="4"/>
        <v>0</v>
      </c>
      <c r="Y11" s="14">
        <f t="shared" si="5"/>
        <v>0</v>
      </c>
      <c r="Z11" s="14">
        <f t="shared" si="6"/>
        <v>0</v>
      </c>
    </row>
    <row r="12" spans="1:26" x14ac:dyDescent="0.25">
      <c r="B12" s="14"/>
      <c r="C12" s="14"/>
      <c r="D12" s="14"/>
      <c r="E12" s="14"/>
      <c r="F12" s="14"/>
      <c r="G12" s="14"/>
      <c r="H12" s="14"/>
      <c r="I12" s="14"/>
      <c r="J12" s="10">
        <f>IRR(J2:J11)</f>
        <v>5.9864263628699677E-2</v>
      </c>
      <c r="K12" s="14">
        <f>template!M14</f>
        <v>0</v>
      </c>
      <c r="L12" s="14">
        <f>template!K14</f>
        <v>0</v>
      </c>
      <c r="M12" s="14">
        <f>L12</f>
        <v>0</v>
      </c>
      <c r="N12" s="14">
        <f t="shared" ref="N12:Z12" si="15">M12</f>
        <v>0</v>
      </c>
      <c r="O12" s="14">
        <f t="shared" si="15"/>
        <v>0</v>
      </c>
      <c r="P12" s="14">
        <f t="shared" si="15"/>
        <v>0</v>
      </c>
      <c r="Q12" s="14">
        <f t="shared" si="15"/>
        <v>0</v>
      </c>
      <c r="R12" s="14">
        <f t="shared" si="15"/>
        <v>0</v>
      </c>
      <c r="S12" s="14">
        <f t="shared" si="15"/>
        <v>0</v>
      </c>
      <c r="T12" s="14">
        <f t="shared" si="15"/>
        <v>0</v>
      </c>
      <c r="U12" s="14">
        <f t="shared" si="15"/>
        <v>0</v>
      </c>
      <c r="V12" s="14">
        <f t="shared" si="15"/>
        <v>0</v>
      </c>
      <c r="W12" s="14">
        <f t="shared" si="15"/>
        <v>0</v>
      </c>
      <c r="X12" s="14">
        <f t="shared" si="15"/>
        <v>0</v>
      </c>
      <c r="Y12" s="14">
        <f t="shared" si="15"/>
        <v>0</v>
      </c>
      <c r="Z12" s="14">
        <f t="shared" si="15"/>
        <v>0</v>
      </c>
    </row>
    <row r="13" spans="1:26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0">
        <f>IRR(K2:K12)</f>
        <v>5.9864263628699677E-2</v>
      </c>
      <c r="L13" s="14">
        <f>template!M15</f>
        <v>0</v>
      </c>
      <c r="M13" s="14">
        <f>template!K15</f>
        <v>0</v>
      </c>
      <c r="N13" s="14">
        <f>M13</f>
        <v>0</v>
      </c>
      <c r="O13" s="14">
        <f t="shared" ref="O13:Z13" si="16">N13</f>
        <v>0</v>
      </c>
      <c r="P13" s="14">
        <f t="shared" si="16"/>
        <v>0</v>
      </c>
      <c r="Q13" s="14">
        <f t="shared" si="16"/>
        <v>0</v>
      </c>
      <c r="R13" s="14">
        <f t="shared" si="16"/>
        <v>0</v>
      </c>
      <c r="S13" s="14">
        <f t="shared" si="16"/>
        <v>0</v>
      </c>
      <c r="T13" s="14">
        <f t="shared" si="16"/>
        <v>0</v>
      </c>
      <c r="U13" s="14">
        <f t="shared" si="16"/>
        <v>0</v>
      </c>
      <c r="V13" s="14">
        <f t="shared" si="16"/>
        <v>0</v>
      </c>
      <c r="W13" s="14">
        <f t="shared" si="16"/>
        <v>0</v>
      </c>
      <c r="X13" s="14">
        <f t="shared" si="16"/>
        <v>0</v>
      </c>
      <c r="Y13" s="14">
        <f t="shared" si="16"/>
        <v>0</v>
      </c>
      <c r="Z13" s="14">
        <f t="shared" si="16"/>
        <v>0</v>
      </c>
    </row>
    <row r="14" spans="1:26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>
        <f>IRR(L2:L13)</f>
        <v>5.9864263628699677E-2</v>
      </c>
      <c r="M14" s="14">
        <f>template!M16</f>
        <v>0</v>
      </c>
      <c r="N14" s="14">
        <f>template!K16</f>
        <v>0</v>
      </c>
      <c r="O14" s="14">
        <f>N14</f>
        <v>0</v>
      </c>
      <c r="P14" s="14">
        <f t="shared" ref="P14:Z14" si="17">O14</f>
        <v>0</v>
      </c>
      <c r="Q14" s="14">
        <f t="shared" si="17"/>
        <v>0</v>
      </c>
      <c r="R14" s="14">
        <f t="shared" si="17"/>
        <v>0</v>
      </c>
      <c r="S14" s="14">
        <f t="shared" si="17"/>
        <v>0</v>
      </c>
      <c r="T14" s="14">
        <f t="shared" si="17"/>
        <v>0</v>
      </c>
      <c r="U14" s="14">
        <f t="shared" si="17"/>
        <v>0</v>
      </c>
      <c r="V14" s="14">
        <f t="shared" si="17"/>
        <v>0</v>
      </c>
      <c r="W14" s="14">
        <f t="shared" si="17"/>
        <v>0</v>
      </c>
      <c r="X14" s="14">
        <f t="shared" si="17"/>
        <v>0</v>
      </c>
      <c r="Y14" s="14">
        <f t="shared" si="17"/>
        <v>0</v>
      </c>
      <c r="Z14" s="14">
        <f t="shared" si="17"/>
        <v>0</v>
      </c>
    </row>
    <row r="15" spans="1:26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0">
        <f>IRR(M2:M14)</f>
        <v>5.9864263628699677E-2</v>
      </c>
      <c r="N15" s="14">
        <f>template!M17</f>
        <v>0</v>
      </c>
      <c r="O15" s="14">
        <f>template!K17</f>
        <v>0</v>
      </c>
      <c r="P15" s="14">
        <f>O15</f>
        <v>0</v>
      </c>
      <c r="Q15" s="14">
        <f t="shared" ref="Q15:Z15" si="18">P15</f>
        <v>0</v>
      </c>
      <c r="R15" s="14">
        <f t="shared" si="18"/>
        <v>0</v>
      </c>
      <c r="S15" s="14">
        <f t="shared" si="18"/>
        <v>0</v>
      </c>
      <c r="T15" s="14">
        <f t="shared" si="18"/>
        <v>0</v>
      </c>
      <c r="U15" s="14">
        <f t="shared" si="18"/>
        <v>0</v>
      </c>
      <c r="V15" s="14">
        <f t="shared" si="18"/>
        <v>0</v>
      </c>
      <c r="W15" s="14">
        <f t="shared" si="18"/>
        <v>0</v>
      </c>
      <c r="X15" s="14">
        <f t="shared" si="18"/>
        <v>0</v>
      </c>
      <c r="Y15" s="14">
        <f t="shared" si="18"/>
        <v>0</v>
      </c>
      <c r="Z15" s="14">
        <f t="shared" si="18"/>
        <v>0</v>
      </c>
    </row>
    <row r="16" spans="1:26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>
        <f>IRR(N2:N15)</f>
        <v>5.9864263628699677E-2</v>
      </c>
      <c r="O16" s="14">
        <f>template!M18</f>
        <v>0</v>
      </c>
      <c r="P16" s="14">
        <f>template!K18</f>
        <v>0</v>
      </c>
      <c r="Q16" s="14">
        <f>P16</f>
        <v>0</v>
      </c>
      <c r="R16" s="14">
        <f t="shared" ref="R16:Z16" si="19">Q16</f>
        <v>0</v>
      </c>
      <c r="S16" s="14">
        <f t="shared" si="19"/>
        <v>0</v>
      </c>
      <c r="T16" s="14">
        <f t="shared" si="19"/>
        <v>0</v>
      </c>
      <c r="U16" s="14">
        <f t="shared" si="19"/>
        <v>0</v>
      </c>
      <c r="V16" s="14">
        <f t="shared" si="19"/>
        <v>0</v>
      </c>
      <c r="W16" s="14">
        <f t="shared" si="19"/>
        <v>0</v>
      </c>
      <c r="X16" s="14">
        <f t="shared" si="19"/>
        <v>0</v>
      </c>
      <c r="Y16" s="14">
        <f t="shared" si="19"/>
        <v>0</v>
      </c>
      <c r="Z16" s="14">
        <f t="shared" si="19"/>
        <v>0</v>
      </c>
    </row>
    <row r="17" spans="2:26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>
        <f>IRR(O2:O16)</f>
        <v>5.9864263628699677E-2</v>
      </c>
      <c r="P17" s="14">
        <f>template!M19</f>
        <v>0</v>
      </c>
      <c r="Q17" s="14">
        <f>template!K19</f>
        <v>0</v>
      </c>
      <c r="R17" s="14">
        <f>Q17</f>
        <v>0</v>
      </c>
      <c r="S17" s="14">
        <f t="shared" ref="S17:Z17" si="20">R17</f>
        <v>0</v>
      </c>
      <c r="T17" s="14">
        <f t="shared" si="20"/>
        <v>0</v>
      </c>
      <c r="U17" s="14">
        <f t="shared" si="20"/>
        <v>0</v>
      </c>
      <c r="V17" s="14">
        <f t="shared" si="20"/>
        <v>0</v>
      </c>
      <c r="W17" s="14">
        <f t="shared" si="20"/>
        <v>0</v>
      </c>
      <c r="X17" s="14">
        <f t="shared" si="20"/>
        <v>0</v>
      </c>
      <c r="Y17" s="14">
        <f t="shared" si="20"/>
        <v>0</v>
      </c>
      <c r="Z17" s="14">
        <f t="shared" si="20"/>
        <v>0</v>
      </c>
    </row>
    <row r="18" spans="2:26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">
        <f>IRR(P2:P17)</f>
        <v>5.9864263628699677E-2</v>
      </c>
      <c r="Q18" s="14">
        <f>template!M20</f>
        <v>0</v>
      </c>
      <c r="R18" s="14">
        <f>template!K20</f>
        <v>0</v>
      </c>
      <c r="S18" s="14">
        <f>R18</f>
        <v>0</v>
      </c>
      <c r="T18" s="14">
        <f t="shared" ref="T18:Z18" si="21">S18</f>
        <v>0</v>
      </c>
      <c r="U18" s="14">
        <f t="shared" si="21"/>
        <v>0</v>
      </c>
      <c r="V18" s="14">
        <f t="shared" si="21"/>
        <v>0</v>
      </c>
      <c r="W18" s="14">
        <f t="shared" si="21"/>
        <v>0</v>
      </c>
      <c r="X18" s="14">
        <f t="shared" si="21"/>
        <v>0</v>
      </c>
      <c r="Y18" s="14">
        <f t="shared" si="21"/>
        <v>0</v>
      </c>
      <c r="Z18" s="14">
        <f t="shared" si="21"/>
        <v>0</v>
      </c>
    </row>
    <row r="19" spans="2:26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0">
        <f>IRR(Q2:Q18)</f>
        <v>5.9864263628699677E-2</v>
      </c>
      <c r="R19" s="14">
        <f>template!M21</f>
        <v>0</v>
      </c>
      <c r="S19" s="14">
        <f>template!K21</f>
        <v>0</v>
      </c>
      <c r="T19" s="14">
        <f>S19</f>
        <v>0</v>
      </c>
      <c r="U19" s="14">
        <f t="shared" ref="U19:Z19" si="22">T19</f>
        <v>0</v>
      </c>
      <c r="V19" s="14">
        <f t="shared" si="22"/>
        <v>0</v>
      </c>
      <c r="W19" s="14">
        <f t="shared" si="22"/>
        <v>0</v>
      </c>
      <c r="X19" s="14">
        <f t="shared" si="22"/>
        <v>0</v>
      </c>
      <c r="Y19" s="14">
        <f t="shared" si="22"/>
        <v>0</v>
      </c>
      <c r="Z19" s="14">
        <f t="shared" si="22"/>
        <v>0</v>
      </c>
    </row>
    <row r="20" spans="2:26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>IRR(R2:R19)</f>
        <v>5.9864263628699677E-2</v>
      </c>
      <c r="S20" s="14">
        <f>template!M22</f>
        <v>0</v>
      </c>
      <c r="T20" s="14">
        <f>template!K22</f>
        <v>0</v>
      </c>
      <c r="U20" s="14">
        <f>T20</f>
        <v>0</v>
      </c>
      <c r="V20" s="14">
        <f t="shared" ref="V20:Z20" si="23">U20</f>
        <v>0</v>
      </c>
      <c r="W20" s="14">
        <f t="shared" si="23"/>
        <v>0</v>
      </c>
      <c r="X20" s="14">
        <f t="shared" si="23"/>
        <v>0</v>
      </c>
      <c r="Y20" s="14">
        <f t="shared" si="23"/>
        <v>0</v>
      </c>
      <c r="Z20" s="14">
        <f t="shared" si="23"/>
        <v>0</v>
      </c>
    </row>
    <row r="21" spans="2:26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0">
        <f>IRR(S2:S20)</f>
        <v>5.9864263628699677E-2</v>
      </c>
      <c r="T21" s="14">
        <f>template!M23</f>
        <v>0</v>
      </c>
      <c r="U21" s="14">
        <f>template!K23</f>
        <v>0</v>
      </c>
      <c r="V21" s="14">
        <f>U21</f>
        <v>0</v>
      </c>
      <c r="W21" s="14">
        <f>V21</f>
        <v>0</v>
      </c>
      <c r="X21" s="14">
        <f t="shared" ref="X21:Z21" si="24">W21</f>
        <v>0</v>
      </c>
      <c r="Y21" s="14">
        <f t="shared" si="24"/>
        <v>0</v>
      </c>
      <c r="Z21" s="14">
        <f t="shared" si="24"/>
        <v>0</v>
      </c>
    </row>
    <row r="22" spans="2:26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0">
        <f>IRR(T2:T21)</f>
        <v>5.9864263628699677E-2</v>
      </c>
      <c r="U22" s="14">
        <f>template!M24</f>
        <v>0</v>
      </c>
      <c r="V22" s="14">
        <f>template!K24</f>
        <v>0</v>
      </c>
      <c r="W22" s="14">
        <f>V22</f>
        <v>0</v>
      </c>
      <c r="X22" s="14">
        <f t="shared" ref="X22:Z22" si="25">W22</f>
        <v>0</v>
      </c>
      <c r="Y22" s="14">
        <f t="shared" si="25"/>
        <v>0</v>
      </c>
      <c r="Z22" s="14">
        <f t="shared" si="25"/>
        <v>0</v>
      </c>
    </row>
    <row r="23" spans="2:26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0">
        <f>IRR(U2:U22)</f>
        <v>5.9864263628699677E-2</v>
      </c>
      <c r="V23" s="14">
        <f>template!M25</f>
        <v>0</v>
      </c>
      <c r="W23" s="14">
        <f>template!K25</f>
        <v>0</v>
      </c>
      <c r="X23" s="14">
        <f>template!L25</f>
        <v>0</v>
      </c>
      <c r="Y23" s="14">
        <f>template!M25</f>
        <v>0</v>
      </c>
      <c r="Z23" s="14">
        <f>template!N25</f>
        <v>-1993.9895073541193</v>
      </c>
    </row>
    <row r="24" spans="2:26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0">
        <f>IRR(V2:V23)</f>
        <v>5.9864263628699677E-2</v>
      </c>
      <c r="W24" s="14">
        <f>template!M26</f>
        <v>0</v>
      </c>
      <c r="X24" s="14">
        <f>template!K26</f>
        <v>0</v>
      </c>
      <c r="Y24" s="14">
        <f>X24</f>
        <v>0</v>
      </c>
      <c r="Z24" s="14">
        <f>Y24</f>
        <v>0</v>
      </c>
    </row>
    <row r="25" spans="2:26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>
        <f>IRR(W2:W24)</f>
        <v>5.9864263628699677E-2</v>
      </c>
      <c r="X25" s="14">
        <f>template!M27</f>
        <v>0</v>
      </c>
      <c r="Y25" s="14">
        <f>template!K27</f>
        <v>0</v>
      </c>
      <c r="Z25" s="14">
        <f>Y25</f>
        <v>0</v>
      </c>
    </row>
    <row r="26" spans="2:26" x14ac:dyDescent="0.25">
      <c r="X26" s="10">
        <f>IRR(X2:X25)</f>
        <v>5.9864263628699677E-2</v>
      </c>
      <c r="Y26">
        <f>template!M28</f>
        <v>0</v>
      </c>
      <c r="Z26" s="14">
        <f>template!K28</f>
        <v>0</v>
      </c>
    </row>
    <row r="27" spans="2:26" x14ac:dyDescent="0.25">
      <c r="Y27" s="10">
        <f>IRR(Y2:Y26)</f>
        <v>5.9864263628699677E-2</v>
      </c>
      <c r="Z27">
        <f>template!M29</f>
        <v>0</v>
      </c>
    </row>
    <row r="28" spans="2:26" x14ac:dyDescent="0.25">
      <c r="Z28" s="10">
        <f>IRR(Z2:Z27)</f>
        <v>5.3480070450065531E-2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>
      <selection activeCell="B38" sqref="B38"/>
    </sheetView>
  </sheetViews>
  <sheetFormatPr defaultRowHeight="15" x14ac:dyDescent="0.25"/>
  <cols>
    <col min="1" max="1" width="20" bestFit="1" customWidth="1"/>
    <col min="2" max="2" width="45.28515625" customWidth="1"/>
  </cols>
  <sheetData>
    <row r="1" spans="1:2" x14ac:dyDescent="0.25">
      <c r="A1" s="25" t="s">
        <v>64</v>
      </c>
      <c r="B1" s="20"/>
    </row>
    <row r="2" spans="1:2" x14ac:dyDescent="0.25">
      <c r="A2" s="21">
        <v>40000</v>
      </c>
      <c r="B2" s="26" t="s">
        <v>65</v>
      </c>
    </row>
    <row r="3" spans="1:2" x14ac:dyDescent="0.25">
      <c r="A3" s="21">
        <v>0</v>
      </c>
      <c r="B3" s="20"/>
    </row>
    <row r="4" spans="1:2" x14ac:dyDescent="0.25">
      <c r="A4" s="22">
        <v>40</v>
      </c>
      <c r="B4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" sqref="A2:XFD2"/>
    </sheetView>
  </sheetViews>
  <sheetFormatPr defaultRowHeight="15" x14ac:dyDescent="0.25"/>
  <cols>
    <col min="2" max="2" width="26.140625" customWidth="1"/>
    <col min="3" max="3" width="32.7109375" customWidth="1"/>
  </cols>
  <sheetData>
    <row r="1" spans="1:3" x14ac:dyDescent="0.25">
      <c r="A1" s="11" t="s">
        <v>67</v>
      </c>
    </row>
    <row r="3" spans="1:3" x14ac:dyDescent="0.25">
      <c r="A3" s="23" t="s">
        <v>2</v>
      </c>
      <c r="B3" s="23" t="s">
        <v>66</v>
      </c>
      <c r="C3" s="20" t="s">
        <v>20</v>
      </c>
    </row>
    <row r="4" spans="1:3" x14ac:dyDescent="0.25">
      <c r="A4" s="23">
        <v>0</v>
      </c>
      <c r="B4" s="21">
        <v>40000</v>
      </c>
      <c r="C4" s="22"/>
    </row>
    <row r="5" spans="1:3" x14ac:dyDescent="0.25">
      <c r="A5" s="23">
        <v>1</v>
      </c>
      <c r="B5" s="21">
        <v>0</v>
      </c>
      <c r="C5" s="21">
        <v>30000</v>
      </c>
    </row>
    <row r="6" spans="1:3" x14ac:dyDescent="0.25">
      <c r="A6" s="23">
        <v>2</v>
      </c>
      <c r="B6" s="21">
        <v>0</v>
      </c>
      <c r="C6" s="21">
        <v>20000</v>
      </c>
    </row>
    <row r="7" spans="1:3" x14ac:dyDescent="0.25">
      <c r="A7" s="23">
        <v>3</v>
      </c>
      <c r="B7" s="21">
        <v>0</v>
      </c>
      <c r="C7" s="21">
        <v>15000</v>
      </c>
    </row>
    <row r="8" spans="1:3" x14ac:dyDescent="0.25">
      <c r="A8" s="23">
        <v>4</v>
      </c>
      <c r="B8" s="21">
        <v>0</v>
      </c>
      <c r="C8" s="21">
        <v>10000</v>
      </c>
    </row>
    <row r="9" spans="1:3" x14ac:dyDescent="0.25">
      <c r="A9" s="23">
        <v>5</v>
      </c>
      <c r="B9" s="21">
        <v>0</v>
      </c>
      <c r="C9" s="21">
        <v>10000</v>
      </c>
    </row>
    <row r="10" spans="1:3" x14ac:dyDescent="0.25">
      <c r="A10" s="23">
        <v>6</v>
      </c>
      <c r="B10" s="21">
        <v>0</v>
      </c>
      <c r="C10" s="22"/>
    </row>
    <row r="11" spans="1:3" x14ac:dyDescent="0.25">
      <c r="A11" s="23">
        <v>7</v>
      </c>
      <c r="B11" s="21">
        <v>0</v>
      </c>
      <c r="C11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workbookViewId="0"/>
  </sheetViews>
  <sheetFormatPr defaultRowHeight="15" x14ac:dyDescent="0.25"/>
  <cols>
    <col min="1" max="1" width="26.85546875" customWidth="1"/>
  </cols>
  <sheetData>
    <row r="1" spans="1:1" x14ac:dyDescent="0.25">
      <c r="A1" s="27" t="s">
        <v>68</v>
      </c>
    </row>
    <row r="2" spans="1:1" x14ac:dyDescent="0.25">
      <c r="A2" s="2">
        <v>40000</v>
      </c>
    </row>
    <row r="3" spans="1:1" x14ac:dyDescent="0.25">
      <c r="A3" s="2">
        <v>30000</v>
      </c>
    </row>
    <row r="4" spans="1:1" x14ac:dyDescent="0.25">
      <c r="A4" s="2">
        <v>15000</v>
      </c>
    </row>
    <row r="5" spans="1:1" x14ac:dyDescent="0.25">
      <c r="A5" s="2">
        <v>5000</v>
      </c>
    </row>
    <row r="6" spans="1:1" x14ac:dyDescent="0.25">
      <c r="A6" s="2">
        <v>0</v>
      </c>
    </row>
    <row r="7" spans="1:1" x14ac:dyDescent="0.25">
      <c r="A7" s="2">
        <v>0</v>
      </c>
    </row>
    <row r="8" spans="1:1" x14ac:dyDescent="0.25">
      <c r="A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activeCell="F31" sqref="F31"/>
    </sheetView>
  </sheetViews>
  <sheetFormatPr defaultRowHeight="15" x14ac:dyDescent="0.25"/>
  <cols>
    <col min="1" max="1" width="10.5703125" customWidth="1"/>
    <col min="2" max="2" width="10" customWidth="1"/>
    <col min="3" max="3" width="10.140625" customWidth="1"/>
    <col min="4" max="4" width="11" customWidth="1"/>
  </cols>
  <sheetData>
    <row r="1" spans="1:4" x14ac:dyDescent="0.25">
      <c r="A1" s="11" t="s">
        <v>43</v>
      </c>
      <c r="B1" s="11" t="s">
        <v>46</v>
      </c>
      <c r="C1" s="28" t="s">
        <v>47</v>
      </c>
      <c r="D1" s="11" t="s">
        <v>48</v>
      </c>
    </row>
    <row r="2" spans="1:4" x14ac:dyDescent="0.25">
      <c r="A2">
        <v>0</v>
      </c>
      <c r="B2" s="17">
        <v>40000</v>
      </c>
    </row>
    <row r="3" spans="1:4" x14ac:dyDescent="0.25">
      <c r="A3">
        <v>1</v>
      </c>
      <c r="C3" s="9">
        <v>0.25</v>
      </c>
      <c r="D3" s="17">
        <v>10000</v>
      </c>
    </row>
    <row r="4" spans="1:4" x14ac:dyDescent="0.25">
      <c r="A4">
        <v>2</v>
      </c>
      <c r="C4" s="10">
        <v>0.375</v>
      </c>
      <c r="D4" s="17">
        <v>15000</v>
      </c>
    </row>
    <row r="5" spans="1:4" x14ac:dyDescent="0.25">
      <c r="A5">
        <v>3</v>
      </c>
      <c r="C5" s="9">
        <v>0.25</v>
      </c>
      <c r="D5" s="17">
        <v>10000</v>
      </c>
    </row>
    <row r="6" spans="1:4" x14ac:dyDescent="0.25">
      <c r="A6">
        <v>4</v>
      </c>
      <c r="C6" s="10">
        <v>0.125</v>
      </c>
      <c r="D6" s="17">
        <v>5000</v>
      </c>
    </row>
    <row r="7" spans="1:4" x14ac:dyDescent="0.25">
      <c r="A7">
        <v>5</v>
      </c>
      <c r="C7">
        <v>0</v>
      </c>
      <c r="D7" s="1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workbookViewId="0">
      <selection activeCell="G32" sqref="G32"/>
    </sheetView>
  </sheetViews>
  <sheetFormatPr defaultRowHeight="15" x14ac:dyDescent="0.25"/>
  <cols>
    <col min="6" max="7" width="12.7109375" customWidth="1"/>
  </cols>
  <sheetData>
    <row r="1" spans="1:6" x14ac:dyDescent="0.25">
      <c r="A1" s="11" t="s">
        <v>43</v>
      </c>
      <c r="B1" s="11" t="s">
        <v>49</v>
      </c>
      <c r="C1" s="11" t="s">
        <v>50</v>
      </c>
      <c r="D1" s="11" t="s">
        <v>51</v>
      </c>
      <c r="E1" s="11" t="s">
        <v>52</v>
      </c>
      <c r="F1" s="11" t="s">
        <v>53</v>
      </c>
    </row>
    <row r="2" spans="1:6" x14ac:dyDescent="0.25">
      <c r="A2">
        <v>0</v>
      </c>
      <c r="B2">
        <v>1640</v>
      </c>
      <c r="C2">
        <v>3750</v>
      </c>
      <c r="D2">
        <v>3000</v>
      </c>
      <c r="E2">
        <v>958</v>
      </c>
      <c r="F2">
        <f>B2+C2-D2-E2</f>
        <v>1432</v>
      </c>
    </row>
    <row r="3" spans="1:6" x14ac:dyDescent="0.25">
      <c r="A3">
        <v>1</v>
      </c>
      <c r="B3">
        <v>1200</v>
      </c>
      <c r="C3">
        <v>5200</v>
      </c>
      <c r="D3">
        <v>4000</v>
      </c>
      <c r="E3">
        <v>880</v>
      </c>
      <c r="F3">
        <f>B3+C3-D3-E3</f>
        <v>1520</v>
      </c>
    </row>
    <row r="4" spans="1:6" x14ac:dyDescent="0.25">
      <c r="A4" t="s">
        <v>54</v>
      </c>
      <c r="F4">
        <v>1550</v>
      </c>
    </row>
    <row r="5" spans="1:6" x14ac:dyDescent="0.25">
      <c r="A5" t="s">
        <v>55</v>
      </c>
      <c r="F5">
        <v>1580</v>
      </c>
    </row>
    <row r="6" spans="1:6" x14ac:dyDescent="0.25">
      <c r="A6" t="s">
        <v>56</v>
      </c>
      <c r="F6">
        <v>1610</v>
      </c>
    </row>
    <row r="7" spans="1:6" x14ac:dyDescent="0.25">
      <c r="A7" t="s">
        <v>57</v>
      </c>
      <c r="F7">
        <v>1500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8"/>
  <sheetViews>
    <sheetView workbookViewId="0">
      <selection activeCell="A10" sqref="A10"/>
    </sheetView>
  </sheetViews>
  <sheetFormatPr defaultRowHeight="15" x14ac:dyDescent="0.25"/>
  <sheetData>
    <row r="1" spans="1:2" x14ac:dyDescent="0.25">
      <c r="A1" s="11" t="s">
        <v>42</v>
      </c>
    </row>
    <row r="2" spans="1:2" x14ac:dyDescent="0.25">
      <c r="A2" s="11" t="s">
        <v>43</v>
      </c>
    </row>
    <row r="3" spans="1:2" x14ac:dyDescent="0.25">
      <c r="A3" s="16">
        <v>0</v>
      </c>
      <c r="B3">
        <v>19000</v>
      </c>
    </row>
    <row r="4" spans="1:2" x14ac:dyDescent="0.25">
      <c r="A4" s="16">
        <v>1</v>
      </c>
      <c r="B4">
        <f>B3*(1+constants!$B$10)</f>
        <v>19190</v>
      </c>
    </row>
    <row r="5" spans="1:2" x14ac:dyDescent="0.25">
      <c r="A5" s="16">
        <v>2</v>
      </c>
      <c r="B5">
        <f>B4*(1+constants!$B$10)</f>
        <v>19381.900000000001</v>
      </c>
    </row>
    <row r="6" spans="1:2" x14ac:dyDescent="0.25">
      <c r="A6" s="16">
        <v>3</v>
      </c>
      <c r="B6">
        <f>B5*(1+constants!$B$10)</f>
        <v>19575.719000000001</v>
      </c>
    </row>
    <row r="7" spans="1:2" x14ac:dyDescent="0.25">
      <c r="A7" s="16">
        <v>4</v>
      </c>
      <c r="B7">
        <f>B6*(1+constants!$B$10)</f>
        <v>19771.476190000001</v>
      </c>
    </row>
    <row r="8" spans="1:2" x14ac:dyDescent="0.25">
      <c r="A8" s="16">
        <v>5</v>
      </c>
      <c r="B8">
        <f>B7*(1+constants!$B$10)</f>
        <v>19969.1909519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template</vt:lpstr>
      <vt:lpstr>constants</vt:lpstr>
      <vt:lpstr>IRRs</vt:lpstr>
      <vt:lpstr>Cap. acct</vt:lpstr>
      <vt:lpstr>Liq. cap.</vt:lpstr>
      <vt:lpstr>Book</vt:lpstr>
      <vt:lpstr>Depr</vt:lpstr>
      <vt:lpstr>Op. accts</vt:lpstr>
      <vt:lpstr>Csh Rec.</vt:lpstr>
      <vt:lpstr>COGS</vt:lpstr>
      <vt:lpstr>OEs</vt:lpstr>
      <vt:lpstr>Tax svg. depr.</vt:lpstr>
      <vt:lpstr>Forecast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Robison, Lindon</dc:creator>
  <cp:lastModifiedBy>Taylor, Julie</cp:lastModifiedBy>
  <cp:lastPrinted>2019-06-13T22:07:35Z</cp:lastPrinted>
  <dcterms:created xsi:type="dcterms:W3CDTF">2019-04-25T20:02:21Z</dcterms:created>
  <dcterms:modified xsi:type="dcterms:W3CDTF">2019-10-10T17:45:05Z</dcterms:modified>
</cp:coreProperties>
</file>