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son\Documents\ABM435.FS.2019\"/>
    </mc:Choice>
  </mc:AlternateContent>
  <bookViews>
    <workbookView xWindow="0" yWindow="0" windowWidth="18480" windowHeight="8355"/>
  </bookViews>
  <sheets>
    <sheet name="435 cfs template" sheetId="1" r:id="rId1"/>
    <sheet name="Exog. variables" sheetId="2" r:id="rId2"/>
    <sheet name="What if anal." sheetId="3" r:id="rId3"/>
    <sheet name="Common size" sheetId="5" r:id="rId4"/>
    <sheet name="Sheet1" sheetId="4" r:id="rId5"/>
  </sheets>
  <definedNames>
    <definedName name="Z_078A71FC_7296_45EA_917B_C712F42DA7F4_.wvu.Cols" localSheetId="0" hidden="1">'435 cfs template'!$N:$N</definedName>
    <definedName name="Z_1ED1EB8F_C346_42C9_81C4_0794DCA17BB6_.wvu.Cols" localSheetId="0" hidden="1">'435 cfs template'!$N:$N</definedName>
  </definedNames>
  <calcPr calcId="162913"/>
  <customWorkbookViews>
    <customWorkbookView name="Daniel - Personal View" guid="{078A71FC-7296-45EA-917B-C712F42DA7F4}" mergeInterval="0" personalView="1" maximized="1" xWindow="-9" yWindow="-9" windowWidth="1938" windowHeight="1048" activeSheetId="1"/>
    <customWorkbookView name="Robison, Lindon - Personal View" guid="{1ED1EB8F-C346-42C9-81C4-0794DCA17BB6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C38" i="1" l="1"/>
  <c r="C37" i="1"/>
  <c r="J15" i="1" l="1"/>
  <c r="D22" i="1"/>
  <c r="D20" i="1"/>
  <c r="D19" i="1"/>
  <c r="D18" i="1"/>
  <c r="D17" i="1"/>
  <c r="D7" i="1"/>
  <c r="D6" i="1"/>
  <c r="C19" i="1"/>
  <c r="C22" i="1"/>
  <c r="C20" i="1"/>
  <c r="C18" i="1"/>
  <c r="C17" i="1"/>
  <c r="C12" i="1"/>
  <c r="C11" i="1"/>
  <c r="C5" i="1"/>
  <c r="C7" i="1"/>
  <c r="C6" i="1"/>
  <c r="C9" i="1" s="1"/>
  <c r="G9" i="2"/>
  <c r="G5" i="2"/>
  <c r="G3" i="2"/>
  <c r="J7" i="1" l="1"/>
  <c r="J6" i="1"/>
  <c r="C13" i="1"/>
  <c r="C15" i="1"/>
  <c r="D12" i="1" l="1"/>
  <c r="B11" i="2" l="1"/>
  <c r="B10" i="3"/>
  <c r="B9" i="3"/>
  <c r="Q22" i="1" l="1"/>
  <c r="J26" i="1" s="1"/>
  <c r="Q15" i="1"/>
  <c r="D11" i="1" s="1"/>
  <c r="Q5" i="1"/>
  <c r="Q7" i="1"/>
  <c r="B7" i="2"/>
  <c r="Q6" i="1" s="1"/>
  <c r="Q19" i="1" l="1"/>
  <c r="J13" i="1"/>
  <c r="J11" i="1"/>
  <c r="H43" i="1" s="1"/>
  <c r="C20" i="3" s="1"/>
  <c r="J5" i="1"/>
  <c r="Q17" i="1"/>
  <c r="Q20" i="1"/>
  <c r="J14" i="1"/>
  <c r="J12" i="1"/>
  <c r="H44" i="1" l="1"/>
  <c r="C21" i="3" s="1"/>
  <c r="Q21" i="1"/>
  <c r="Q23" i="1" s="1"/>
  <c r="B29" i="3" l="1"/>
  <c r="B28" i="3"/>
  <c r="B27" i="3"/>
  <c r="B24" i="3"/>
  <c r="B23" i="3"/>
  <c r="B19" i="3"/>
  <c r="B18" i="3"/>
  <c r="B17" i="3"/>
  <c r="B16" i="3"/>
  <c r="B15" i="3"/>
  <c r="B14" i="3"/>
  <c r="B11" i="3"/>
  <c r="B6" i="3"/>
  <c r="B5" i="3"/>
  <c r="C21" i="1" l="1"/>
  <c r="C24" i="1" s="1"/>
  <c r="B14" i="2" s="1"/>
  <c r="Q8" i="1" s="1"/>
  <c r="J20" i="1" s="1"/>
  <c r="D21" i="1"/>
  <c r="D24" i="1" s="1"/>
  <c r="C6" i="5" l="1"/>
  <c r="C24" i="3"/>
  <c r="C8" i="5"/>
  <c r="C21" i="5"/>
  <c r="C12" i="5"/>
  <c r="C7" i="5"/>
  <c r="C25" i="5"/>
  <c r="C9" i="5"/>
  <c r="C22" i="5"/>
  <c r="C11" i="5" l="1"/>
  <c r="C13" i="5"/>
  <c r="C15" i="5" s="1"/>
  <c r="C28" i="1"/>
  <c r="C26" i="1" s="1"/>
  <c r="C29" i="1"/>
  <c r="C28" i="5" s="1"/>
  <c r="C19" i="5"/>
  <c r="C20" i="5"/>
  <c r="C23" i="5" l="1"/>
  <c r="C26" i="5" s="1"/>
  <c r="C27" i="5"/>
  <c r="C42" i="1"/>
  <c r="C28" i="3" s="1"/>
  <c r="C41" i="1"/>
  <c r="C27" i="3" s="1"/>
  <c r="C43" i="1"/>
  <c r="C29" i="3" s="1"/>
  <c r="C23" i="3" l="1"/>
  <c r="D13" i="1"/>
  <c r="J16" i="1"/>
  <c r="J9" i="1" l="1"/>
  <c r="J18" i="1" s="1"/>
  <c r="H39" i="1" l="1"/>
  <c r="H40" i="1" s="1"/>
  <c r="C17" i="3" s="1"/>
  <c r="H37" i="1"/>
  <c r="H38" i="1" s="1"/>
  <c r="C15" i="3" s="1"/>
  <c r="H41" i="1"/>
  <c r="H42" i="1" s="1"/>
  <c r="C19" i="3" s="1"/>
  <c r="C16" i="3"/>
  <c r="H48" i="1"/>
  <c r="C9" i="3" s="1"/>
  <c r="J21" i="1"/>
  <c r="B16" i="2" s="1"/>
  <c r="Q9" i="1" s="1"/>
  <c r="C46" i="1"/>
  <c r="C5" i="3" s="1"/>
  <c r="C47" i="1"/>
  <c r="C6" i="3" s="1"/>
  <c r="B37" i="1"/>
  <c r="C18" i="3" l="1"/>
  <c r="C14" i="3"/>
  <c r="J23" i="1"/>
  <c r="H49" i="1" s="1"/>
  <c r="Q10" i="1"/>
  <c r="Q25" i="1" s="1"/>
  <c r="D5" i="1" s="1"/>
  <c r="D9" i="1" s="1"/>
  <c r="H50" i="1"/>
  <c r="C10" i="3" s="1"/>
  <c r="L40" i="1"/>
  <c r="L41" i="1" s="1"/>
  <c r="H47" i="1"/>
  <c r="C11" i="3" s="1"/>
  <c r="L38" i="1"/>
  <c r="L39" i="1" s="1"/>
  <c r="L42" i="1" s="1"/>
  <c r="J24" i="1" l="1"/>
  <c r="L43" i="1"/>
  <c r="L44" i="1"/>
  <c r="D15" i="1"/>
  <c r="D8" i="5" s="1"/>
  <c r="B38" i="1"/>
  <c r="H51" i="1"/>
  <c r="J27" i="1"/>
  <c r="D27" i="1" s="1"/>
  <c r="D12" i="5" l="1"/>
  <c r="D11" i="5"/>
  <c r="D13" i="5" s="1"/>
  <c r="D19" i="5"/>
  <c r="D26" i="5"/>
  <c r="D28" i="1"/>
  <c r="D25" i="5"/>
  <c r="D7" i="5"/>
  <c r="D22" i="5"/>
  <c r="D21" i="5"/>
  <c r="D23" i="5"/>
  <c r="D6" i="5"/>
  <c r="D20" i="5"/>
  <c r="D9" i="5" l="1"/>
  <c r="D15" i="5" s="1"/>
  <c r="D29" i="1"/>
  <c r="D27" i="5"/>
  <c r="D26" i="1"/>
  <c r="B42" i="1" l="1"/>
  <c r="B41" i="1"/>
  <c r="D28" i="5"/>
  <c r="B43" i="1"/>
</calcChain>
</file>

<file path=xl/comments1.xml><?xml version="1.0" encoding="utf-8"?>
<comments xmlns="http://schemas.openxmlformats.org/spreadsheetml/2006/main">
  <authors>
    <author>Robison, Lindon</author>
  </authors>
  <commentList>
    <comment ref="Q23" authorId="0" shapeId="0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Calculated using data from the beginning and ending balance sheets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Ending contributed capital is an endogenous variable that ensures total assets equal total liabilities and equity</t>
        </r>
      </text>
    </comment>
  </commentList>
</comments>
</file>

<file path=xl/sharedStrings.xml><?xml version="1.0" encoding="utf-8"?>
<sst xmlns="http://schemas.openxmlformats.org/spreadsheetml/2006/main" count="225" uniqueCount="166">
  <si>
    <t>ASSETS</t>
  </si>
  <si>
    <t>Cash and Marketable Securities</t>
  </si>
  <si>
    <t>Accounts Receivable</t>
  </si>
  <si>
    <t>Inventory</t>
  </si>
  <si>
    <t>CURRENT ASSETS</t>
  </si>
  <si>
    <t>Notes Payable</t>
  </si>
  <si>
    <t>Current Portion of LTD</t>
  </si>
  <si>
    <t>Accounts Payable</t>
  </si>
  <si>
    <t>Accrued Liabilities</t>
  </si>
  <si>
    <t>Total Current Liabilities</t>
  </si>
  <si>
    <t>TOTAL ASSETS</t>
  </si>
  <si>
    <t>Retained Earnings</t>
  </si>
  <si>
    <t>TOTAL EQUITY</t>
  </si>
  <si>
    <t>BALANCE SHEET</t>
  </si>
  <si>
    <t>Depreciation</t>
  </si>
  <si>
    <t>STATEMENT OF CASH FLOW</t>
  </si>
  <si>
    <t>LIQUIDITY RATIOS</t>
  </si>
  <si>
    <t>LEVERAGE RATIOS</t>
  </si>
  <si>
    <t>Debt/Equity</t>
  </si>
  <si>
    <t>EFFICIENCY RATIOS</t>
  </si>
  <si>
    <t xml:space="preserve">  Total Current Assets</t>
  </si>
  <si>
    <t>Asset/Equity</t>
  </si>
  <si>
    <t>Solvency</t>
  </si>
  <si>
    <t>Total Revenue</t>
  </si>
  <si>
    <t>Change in Accrued Liabilities</t>
  </si>
  <si>
    <t>Total Expenses</t>
  </si>
  <si>
    <t>Earnings Before Interest and Taxes (EBIT)</t>
  </si>
  <si>
    <t>Earnings Before Taxes (EBT)</t>
  </si>
  <si>
    <t>Net Cash Fl;ow from Operations</t>
  </si>
  <si>
    <t>Net Cash Flow from Investment</t>
  </si>
  <si>
    <t>Net Cash Flow from Financing</t>
  </si>
  <si>
    <t>Industry</t>
  </si>
  <si>
    <t>Profitability</t>
  </si>
  <si>
    <t xml:space="preserve">Industry </t>
  </si>
  <si>
    <t xml:space="preserve"> </t>
  </si>
  <si>
    <t>H</t>
  </si>
  <si>
    <t>I</t>
  </si>
  <si>
    <t>A</t>
  </si>
  <si>
    <t>C</t>
  </si>
  <si>
    <t>D</t>
  </si>
  <si>
    <t>F</t>
  </si>
  <si>
    <t>G</t>
  </si>
  <si>
    <t>Depreciable Assets</t>
  </si>
  <si>
    <t>Non-depreciable Assets</t>
  </si>
  <si>
    <t>Total Long-Term Assets</t>
  </si>
  <si>
    <t>TOTAL LIABILITIES</t>
  </si>
  <si>
    <t>"+"</t>
  </si>
  <si>
    <t>"-"</t>
  </si>
  <si>
    <t>taxes</t>
  </si>
  <si>
    <t>TOTAL LIABILITIES AND EQUITY</t>
  </si>
  <si>
    <t>Contributed Capital</t>
  </si>
  <si>
    <t>ITOT</t>
  </si>
  <si>
    <t>ATOT</t>
  </si>
  <si>
    <t>RTOT</t>
  </si>
  <si>
    <t>TIE</t>
  </si>
  <si>
    <t>DSR</t>
  </si>
  <si>
    <t>ROA</t>
  </si>
  <si>
    <t>ROE</t>
  </si>
  <si>
    <t>m margin</t>
  </si>
  <si>
    <t>Efficiency</t>
  </si>
  <si>
    <t>ITO</t>
  </si>
  <si>
    <t>ATO</t>
  </si>
  <si>
    <t>RTO</t>
  </si>
  <si>
    <t>Liquidity</t>
  </si>
  <si>
    <t>current ratio</t>
  </si>
  <si>
    <t>quick ratio</t>
  </si>
  <si>
    <t>Leverage</t>
  </si>
  <si>
    <t>Debt/Assets</t>
  </si>
  <si>
    <t>PTO</t>
  </si>
  <si>
    <t>Ratios</t>
  </si>
  <si>
    <t>Industry Ave.</t>
  </si>
  <si>
    <t>activity ratios</t>
  </si>
  <si>
    <t xml:space="preserve">HQN base </t>
  </si>
  <si>
    <t>Ind. Ave</t>
  </si>
  <si>
    <t>LONG TERM ASSETS</t>
  </si>
  <si>
    <t>LIABILITIES AND NET WORTH</t>
  </si>
  <si>
    <t>CURRENT LIABILITIES</t>
  </si>
  <si>
    <t>Long term debt</t>
  </si>
  <si>
    <t>Activity</t>
  </si>
  <si>
    <t>Adjustment for unpaid labor</t>
  </si>
  <si>
    <t xml:space="preserve">adjusted ROE </t>
  </si>
  <si>
    <t>EBT-opportunity cost</t>
  </si>
  <si>
    <t>EBT-opportunity cost+inter)</t>
  </si>
  <si>
    <t>adjusted ROA</t>
  </si>
  <si>
    <t>After-tax adjusted ROE (for T=.4)</t>
  </si>
  <si>
    <t>ACCRUAL INCOME STATEMENT</t>
  </si>
  <si>
    <t>Total Equity</t>
  </si>
  <si>
    <t>CHANGE IN CASH POSITION (Q11+Q18+Q24)</t>
  </si>
  <si>
    <t>Addition to Retained Earnings</t>
  </si>
  <si>
    <t>SOLVENCY</t>
  </si>
  <si>
    <t>Return on assets (ROA)</t>
  </si>
  <si>
    <t>DATE</t>
  </si>
  <si>
    <t>Inventory Turnover (ITO)</t>
  </si>
  <si>
    <t>Asset Turnover (ATO)</t>
  </si>
  <si>
    <t>Receivable Turnover (RTO)</t>
  </si>
  <si>
    <t>Payable Turnover (PTO)</t>
  </si>
  <si>
    <t>PROFITABILITY</t>
  </si>
  <si>
    <t>Return on equity (ROE)</t>
  </si>
  <si>
    <t>Cash income</t>
  </si>
  <si>
    <t>Seed, feed</t>
  </si>
  <si>
    <t>labor cost</t>
  </si>
  <si>
    <t>COGS</t>
  </si>
  <si>
    <t>insurance</t>
  </si>
  <si>
    <t>utilities</t>
  </si>
  <si>
    <t>OEs</t>
  </si>
  <si>
    <t>interest</t>
  </si>
  <si>
    <t>Sale depreciable assets</t>
  </si>
  <si>
    <t>purchase depreciable assets</t>
  </si>
  <si>
    <t>Owner draw/dividends</t>
  </si>
  <si>
    <t>base2017</t>
  </si>
  <si>
    <t>base2018</t>
  </si>
  <si>
    <t>ave. interest rate</t>
  </si>
  <si>
    <t>Oppotunity cost/unpaid labor</t>
  </si>
  <si>
    <t>Notes Receivable</t>
  </si>
  <si>
    <t>Noncurrent LT debt</t>
  </si>
  <si>
    <t>Beginning balance sheet exog</t>
  </si>
  <si>
    <t>Ending balance sheet exog</t>
  </si>
  <si>
    <t>Statement of cash flow exog</t>
  </si>
  <si>
    <t>Ave. tax rate on ROE T</t>
  </si>
  <si>
    <t>Ave. tax rate on ROA T*</t>
  </si>
  <si>
    <t>Current ratio (CR)</t>
  </si>
  <si>
    <t>Quick ratio (QR)</t>
  </si>
  <si>
    <t>Debt/Asset (D/A)</t>
  </si>
  <si>
    <t>Debt/Equity (D/E)</t>
  </si>
  <si>
    <t>Times Interest Earned (TIE)</t>
  </si>
  <si>
    <t>Debt Service Ratio (DSR)</t>
  </si>
  <si>
    <t>ITOT (365/ITO)</t>
  </si>
  <si>
    <t>ATOT (365/ATO)</t>
  </si>
  <si>
    <t>RTOT (365/RTO)</t>
  </si>
  <si>
    <t>PTOT (365/PTO)</t>
  </si>
  <si>
    <t>Profit margin (m)</t>
  </si>
  <si>
    <t>After-tax ROA [ROA(1-T*)]</t>
  </si>
  <si>
    <t>After-tax ROE [ROE(1-T)]</t>
  </si>
  <si>
    <t>AFter-tax adjusted ROA (for T*=..1)</t>
  </si>
  <si>
    <t>Equity multiplier  (A/E)</t>
  </si>
  <si>
    <t xml:space="preserve">BASE SPELL RATIOS FOR HQN </t>
  </si>
  <si>
    <t>Change in Inventories</t>
  </si>
  <si>
    <t>Cash Receipts</t>
  </si>
  <si>
    <t>Interest paid</t>
  </si>
  <si>
    <t>Taxes</t>
  </si>
  <si>
    <t>Realized Cap. Gains + Depr. Recapture</t>
  </si>
  <si>
    <t>Sales Non-depreciable Assets</t>
  </si>
  <si>
    <t>Purchases Non-depreciable Assets</t>
  </si>
  <si>
    <t>Sale Depreciable Assets</t>
  </si>
  <si>
    <t xml:space="preserve">Purchases Depreciable Assets </t>
  </si>
  <si>
    <t>Change in Notes Payable</t>
  </si>
  <si>
    <t>Less Dividends and Owner Draw</t>
  </si>
  <si>
    <t>Less Interest Costs</t>
  </si>
  <si>
    <t>Less Taxes</t>
  </si>
  <si>
    <t>Realized Cap. Gains/Depr. Recapture</t>
  </si>
  <si>
    <t>Change in Accounts. Payable</t>
  </si>
  <si>
    <t>Current Portion Long-Term Debt</t>
  </si>
  <si>
    <t>Non-Current Long Term Debt</t>
  </si>
  <si>
    <t xml:space="preserve">Change in Accounts Receivable </t>
  </si>
  <si>
    <t>Cash Cost of Goods Sold</t>
  </si>
  <si>
    <t>Cash Overhead Expenses</t>
  </si>
  <si>
    <t>Net Income After Taxes (NIAT)</t>
  </si>
  <si>
    <t>Change in Non-Current Long Term Debt</t>
  </si>
  <si>
    <t xml:space="preserve">Change in Current Portion of Long Term Debt </t>
  </si>
  <si>
    <t>PTOT</t>
  </si>
  <si>
    <t>ROE 9.0%</t>
  </si>
  <si>
    <t>Goal seek</t>
  </si>
  <si>
    <t xml:space="preserve">Table 6.4  Coordinated Financial Statements for Hi-Quality Nursery </t>
  </si>
  <si>
    <t>goal seek</t>
  </si>
  <si>
    <t>Goal seek ROE 9.0%</t>
  </si>
  <si>
    <t>Table 6.5.  What analysis using SPELL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</si>
</sst>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5" fontId="3" fillId="0" borderId="0" xfId="0" applyNumberFormat="1" applyFont="1" applyProtection="1">
      <protection locked="0"/>
    </xf>
    <xf numFmtId="165" fontId="0" fillId="0" borderId="0" xfId="0" applyNumberFormat="1"/>
    <xf numFmtId="1" fontId="0" fillId="0" borderId="0" xfId="0" applyNumberFormat="1"/>
    <xf numFmtId="0" fontId="10" fillId="0" borderId="0" xfId="0" applyFont="1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14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4" fontId="3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6" fontId="0" fillId="0" borderId="0" xfId="0" applyNumberFormat="1" applyProtection="1">
      <protection locked="0"/>
    </xf>
    <xf numFmtId="6" fontId="0" fillId="0" borderId="0" xfId="0" applyNumberFormat="1" applyProtection="1"/>
    <xf numFmtId="6" fontId="0" fillId="0" borderId="0" xfId="0" applyNumberFormat="1" applyFont="1" applyProtection="1">
      <protection locked="0"/>
    </xf>
    <xf numFmtId="166" fontId="0" fillId="0" borderId="0" xfId="0" applyNumberFormat="1"/>
    <xf numFmtId="0" fontId="2" fillId="5" borderId="0" xfId="0" applyFont="1" applyFill="1" applyAlignment="1" applyProtection="1">
      <alignment horizontal="center" vertical="center"/>
      <protection locked="0"/>
    </xf>
    <xf numFmtId="6" fontId="3" fillId="0" borderId="0" xfId="0" applyNumberFormat="1" applyFont="1" applyProtection="1">
      <protection locked="0"/>
    </xf>
    <xf numFmtId="4" fontId="0" fillId="0" borderId="0" xfId="0" applyNumberFormat="1"/>
    <xf numFmtId="0" fontId="3" fillId="6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6" borderId="0" xfId="0" applyFont="1" applyFill="1" applyProtection="1">
      <protection locked="0"/>
    </xf>
    <xf numFmtId="5" fontId="13" fillId="0" borderId="0" xfId="0" applyNumberFormat="1" applyFont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164" fontId="3" fillId="3" borderId="0" xfId="0" applyNumberFormat="1" applyFont="1" applyFill="1" applyProtection="1">
      <protection locked="0"/>
    </xf>
    <xf numFmtId="6" fontId="0" fillId="0" borderId="0" xfId="1" applyNumberFormat="1" applyFont="1" applyProtection="1">
      <protection locked="0"/>
    </xf>
    <xf numFmtId="6" fontId="0" fillId="0" borderId="0" xfId="0" applyNumberFormat="1"/>
    <xf numFmtId="6" fontId="0" fillId="0" borderId="0" xfId="0" applyNumberFormat="1" applyFill="1" applyProtection="1"/>
    <xf numFmtId="6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10" fontId="0" fillId="0" borderId="0" xfId="0" applyNumberFormat="1" applyAlignment="1" applyProtection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478491</xdr:colOff>
      <xdr:row>12</xdr:row>
      <xdr:rowOff>86285</xdr:rowOff>
    </xdr:from>
    <xdr:ext cx="65" cy="172227"/>
    <xdr:sp macro="" textlink="">
      <xdr:nvSpPr>
        <xdr:cNvPr id="3" name="TextBox 2"/>
        <xdr:cNvSpPr txBox="1"/>
      </xdr:nvSpPr>
      <xdr:spPr>
        <a:xfrm>
          <a:off x="8938932" y="260760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0"/>
  <sheetViews>
    <sheetView tabSelected="1" zoomScale="90" zoomScaleNormal="90" workbookViewId="0">
      <pane xSplit="4" topLeftCell="E1" activePane="topRight" state="frozen"/>
      <selection pane="topRight"/>
    </sheetView>
  </sheetViews>
  <sheetFormatPr defaultColWidth="9.140625" defaultRowHeight="12.75" x14ac:dyDescent="0.2"/>
  <cols>
    <col min="1" max="1" width="29.140625" style="16" bestFit="1" customWidth="1"/>
    <col min="2" max="2" width="0.7109375" style="16" customWidth="1"/>
    <col min="3" max="3" width="10.85546875" style="16" bestFit="1" customWidth="1"/>
    <col min="4" max="4" width="11.7109375" style="16" customWidth="1"/>
    <col min="5" max="5" width="1.7109375" style="16" customWidth="1"/>
    <col min="6" max="6" width="12.140625" style="16" customWidth="1"/>
    <col min="7" max="7" width="12.7109375" style="16" customWidth="1"/>
    <col min="8" max="8" width="10.85546875" style="16" bestFit="1" customWidth="1"/>
    <col min="9" max="9" width="9" style="16" customWidth="1"/>
    <col min="10" max="10" width="12.5703125" style="16" bestFit="1" customWidth="1"/>
    <col min="11" max="11" width="1.140625" style="16" customWidth="1"/>
    <col min="12" max="12" width="12" style="16" customWidth="1"/>
    <col min="13" max="13" width="28" style="16" customWidth="1"/>
    <col min="14" max="14" width="1.42578125" style="16" hidden="1" customWidth="1"/>
    <col min="15" max="15" width="9.140625" style="16" customWidth="1"/>
    <col min="16" max="16" width="1.7109375" style="16" customWidth="1"/>
    <col min="17" max="17" width="13.28515625" style="16" customWidth="1"/>
    <col min="18" max="18" width="0.85546875" style="16" customWidth="1"/>
    <col min="19" max="16384" width="9.140625" style="16"/>
  </cols>
  <sheetData>
    <row r="1" spans="1:20" x14ac:dyDescent="0.2">
      <c r="A1" s="2" t="s">
        <v>162</v>
      </c>
    </row>
    <row r="2" spans="1:20" x14ac:dyDescent="0.2">
      <c r="A2" s="55" t="s">
        <v>13</v>
      </c>
      <c r="B2" s="55"/>
      <c r="C2" s="55"/>
      <c r="D2" s="55"/>
      <c r="E2" s="11"/>
      <c r="F2" s="56" t="s">
        <v>85</v>
      </c>
      <c r="G2" s="56"/>
      <c r="H2" s="56"/>
      <c r="I2" s="56"/>
      <c r="J2" s="56"/>
      <c r="K2" s="12"/>
      <c r="L2" s="54" t="s">
        <v>15</v>
      </c>
      <c r="M2" s="54"/>
      <c r="N2" s="54"/>
      <c r="O2" s="54"/>
      <c r="P2" s="54"/>
      <c r="Q2" s="54"/>
      <c r="R2" s="13"/>
      <c r="S2" s="14"/>
      <c r="T2" s="15"/>
    </row>
    <row r="3" spans="1:20" x14ac:dyDescent="0.2">
      <c r="A3" s="55"/>
      <c r="B3" s="55"/>
      <c r="C3" s="55"/>
      <c r="D3" s="55"/>
      <c r="E3" s="11"/>
      <c r="F3" s="56"/>
      <c r="G3" s="56"/>
      <c r="H3" s="56"/>
      <c r="I3" s="56"/>
      <c r="J3" s="56"/>
      <c r="K3" s="12"/>
      <c r="L3" s="54"/>
      <c r="M3" s="54"/>
      <c r="N3" s="54"/>
      <c r="O3" s="54"/>
      <c r="P3" s="54"/>
      <c r="Q3" s="54"/>
      <c r="R3" s="13"/>
      <c r="S3" s="14"/>
      <c r="T3" s="15"/>
    </row>
    <row r="4" spans="1:20" x14ac:dyDescent="0.2">
      <c r="A4" s="2" t="s">
        <v>91</v>
      </c>
      <c r="C4" s="1">
        <v>43100</v>
      </c>
      <c r="D4" s="1">
        <v>43465</v>
      </c>
      <c r="E4" s="11"/>
      <c r="F4" s="2" t="s">
        <v>91</v>
      </c>
      <c r="J4" s="2">
        <v>2018</v>
      </c>
      <c r="K4" s="11"/>
      <c r="L4" s="2" t="s">
        <v>91</v>
      </c>
      <c r="Q4" s="2">
        <v>2018</v>
      </c>
      <c r="R4" s="11"/>
      <c r="S4" s="15"/>
      <c r="T4" s="15"/>
    </row>
    <row r="5" spans="1:20" ht="15" x14ac:dyDescent="0.25">
      <c r="A5" s="16" t="s">
        <v>1</v>
      </c>
      <c r="C5" s="35">
        <f>'Exog. variables'!K2</f>
        <v>930</v>
      </c>
      <c r="D5" s="35">
        <f>C5+Q25</f>
        <v>606</v>
      </c>
      <c r="E5" s="11"/>
      <c r="F5" s="2" t="s">
        <v>46</v>
      </c>
      <c r="G5" s="16" t="s">
        <v>137</v>
      </c>
      <c r="J5" s="31">
        <f>Q5</f>
        <v>39000</v>
      </c>
      <c r="K5" s="11"/>
      <c r="L5" s="2" t="s">
        <v>46</v>
      </c>
      <c r="M5" s="16" t="s">
        <v>137</v>
      </c>
      <c r="Q5" s="32">
        <f>'Exog. variables'!B3</f>
        <v>39000</v>
      </c>
      <c r="R5" s="11"/>
      <c r="S5" s="15"/>
      <c r="T5" s="15"/>
    </row>
    <row r="6" spans="1:20" ht="15" x14ac:dyDescent="0.25">
      <c r="A6" s="16" t="s">
        <v>2</v>
      </c>
      <c r="C6" s="30">
        <f>'Exog. variables'!K3</f>
        <v>1640</v>
      </c>
      <c r="D6" s="31">
        <f>'Exog. variables'!M3</f>
        <v>1200</v>
      </c>
      <c r="E6" s="11"/>
      <c r="F6" s="16" t="s">
        <v>46</v>
      </c>
      <c r="G6" s="17" t="s">
        <v>153</v>
      </c>
      <c r="J6" s="31">
        <f>D6-C6</f>
        <v>-440</v>
      </c>
      <c r="K6" s="11"/>
      <c r="L6" s="16" t="s">
        <v>47</v>
      </c>
      <c r="M6" s="16" t="s">
        <v>154</v>
      </c>
      <c r="Q6" s="44">
        <f>'Exog. variables'!B7</f>
        <v>27000</v>
      </c>
      <c r="R6" s="11"/>
      <c r="S6" s="15"/>
      <c r="T6" s="15"/>
    </row>
    <row r="7" spans="1:20" ht="15" x14ac:dyDescent="0.25">
      <c r="A7" s="16" t="s">
        <v>3</v>
      </c>
      <c r="C7" s="47">
        <f>'Exog. variables'!K4</f>
        <v>3750</v>
      </c>
      <c r="D7" s="30">
        <f>'Exog. variables'!M4</f>
        <v>5200</v>
      </c>
      <c r="E7" s="11"/>
      <c r="F7" s="16" t="s">
        <v>46</v>
      </c>
      <c r="G7" s="17" t="s">
        <v>136</v>
      </c>
      <c r="J7" s="31">
        <f>D7-C7</f>
        <v>1450</v>
      </c>
      <c r="K7" s="11"/>
      <c r="L7" s="16" t="s">
        <v>47</v>
      </c>
      <c r="M7" s="16" t="s">
        <v>155</v>
      </c>
      <c r="Q7" s="30">
        <f>'Exog. variables'!B11</f>
        <v>11078</v>
      </c>
      <c r="R7" s="11"/>
      <c r="S7" s="15"/>
      <c r="T7" s="15"/>
    </row>
    <row r="8" spans="1:20" ht="15" x14ac:dyDescent="0.25">
      <c r="A8" s="16" t="s">
        <v>113</v>
      </c>
      <c r="C8" s="30">
        <v>0</v>
      </c>
      <c r="D8" s="30">
        <v>0</v>
      </c>
      <c r="E8" s="11"/>
      <c r="F8" s="16" t="s">
        <v>46</v>
      </c>
      <c r="G8" s="17" t="s">
        <v>149</v>
      </c>
      <c r="J8" s="30">
        <v>0</v>
      </c>
      <c r="K8" s="11"/>
      <c r="L8" s="16" t="s">
        <v>47</v>
      </c>
      <c r="M8" s="16" t="s">
        <v>138</v>
      </c>
      <c r="Q8" s="30">
        <f>'Exog. variables'!B14</f>
        <v>480</v>
      </c>
      <c r="R8" s="11"/>
      <c r="S8" s="15"/>
      <c r="T8" s="15"/>
    </row>
    <row r="9" spans="1:20" ht="15" x14ac:dyDescent="0.25">
      <c r="A9" s="2" t="s">
        <v>20</v>
      </c>
      <c r="C9" s="30">
        <f>SUM(C5:C8)</f>
        <v>6320</v>
      </c>
      <c r="D9" s="30">
        <f>SUM(D5:D8)</f>
        <v>7006</v>
      </c>
      <c r="E9" s="11"/>
      <c r="F9" s="2" t="s">
        <v>23</v>
      </c>
      <c r="G9" s="17"/>
      <c r="J9" s="31">
        <f>SUM(J5:J8)</f>
        <v>40010</v>
      </c>
      <c r="K9" s="11"/>
      <c r="L9" s="16" t="s">
        <v>47</v>
      </c>
      <c r="M9" s="16" t="s">
        <v>139</v>
      </c>
      <c r="Q9" s="30">
        <f>'Exog. variables'!B16</f>
        <v>72</v>
      </c>
      <c r="R9" s="11"/>
      <c r="S9" s="15"/>
      <c r="T9" s="15"/>
    </row>
    <row r="10" spans="1:20" ht="13.5" customHeight="1" x14ac:dyDescent="0.25">
      <c r="A10" s="2"/>
      <c r="C10" s="31"/>
      <c r="D10" s="31"/>
      <c r="E10" s="11"/>
      <c r="F10" s="2"/>
      <c r="G10" s="18"/>
      <c r="J10" s="30"/>
      <c r="K10" s="11"/>
      <c r="L10" s="2" t="s">
        <v>28</v>
      </c>
      <c r="M10" s="2"/>
      <c r="Q10" s="30">
        <f>Q5-Q6-Q7-Q8-Q9</f>
        <v>370</v>
      </c>
      <c r="R10" s="11"/>
      <c r="S10" s="15"/>
      <c r="T10" s="15"/>
    </row>
    <row r="11" spans="1:20" ht="14.25" customHeight="1" x14ac:dyDescent="0.25">
      <c r="A11" s="16" t="s">
        <v>42</v>
      </c>
      <c r="C11" s="30">
        <f>'Exog. variables'!K8</f>
        <v>2990</v>
      </c>
      <c r="D11" s="30">
        <f>C11+Q16-Q15-J15</f>
        <v>2710</v>
      </c>
      <c r="E11" s="11"/>
      <c r="F11" s="2" t="s">
        <v>46</v>
      </c>
      <c r="G11" s="17" t="s">
        <v>154</v>
      </c>
      <c r="J11" s="31">
        <f>Q6</f>
        <v>27000</v>
      </c>
      <c r="K11" s="11"/>
      <c r="Q11" s="30"/>
      <c r="R11" s="11"/>
      <c r="S11" s="15"/>
      <c r="T11" s="15"/>
    </row>
    <row r="12" spans="1:20" ht="15" x14ac:dyDescent="0.25">
      <c r="A12" s="16" t="s">
        <v>43</v>
      </c>
      <c r="C12" s="30">
        <f>'Exog. variables'!K9</f>
        <v>690</v>
      </c>
      <c r="D12" s="31">
        <f>C12+Q14-Q13</f>
        <v>690</v>
      </c>
      <c r="E12" s="11"/>
      <c r="F12" s="16" t="s">
        <v>46</v>
      </c>
      <c r="G12" s="17" t="s">
        <v>150</v>
      </c>
      <c r="J12" s="31">
        <f>D19-C19</f>
        <v>1000</v>
      </c>
      <c r="K12" s="11"/>
      <c r="L12" s="16" t="s">
        <v>46</v>
      </c>
      <c r="M12" s="16" t="s">
        <v>140</v>
      </c>
      <c r="N12" s="2"/>
      <c r="O12" s="2"/>
      <c r="Q12" s="31">
        <v>0</v>
      </c>
      <c r="R12" s="11"/>
      <c r="S12" s="15"/>
      <c r="T12" s="15"/>
    </row>
    <row r="13" spans="1:20" ht="15" x14ac:dyDescent="0.25">
      <c r="A13" s="2" t="s">
        <v>44</v>
      </c>
      <c r="C13" s="31">
        <f>SUM(C11:C12)</f>
        <v>3680</v>
      </c>
      <c r="D13" s="31">
        <f>SUM(D11:D12)</f>
        <v>3400</v>
      </c>
      <c r="E13" s="11"/>
      <c r="F13" s="16" t="s">
        <v>46</v>
      </c>
      <c r="G13" s="16" t="s">
        <v>155</v>
      </c>
      <c r="J13" s="31">
        <f>Q7</f>
        <v>11078</v>
      </c>
      <c r="K13" s="11"/>
      <c r="L13" s="16" t="s">
        <v>46</v>
      </c>
      <c r="M13" s="16" t="s">
        <v>141</v>
      </c>
      <c r="Q13" s="45">
        <v>0</v>
      </c>
      <c r="R13" s="11"/>
      <c r="S13" s="15"/>
      <c r="T13" s="15"/>
    </row>
    <row r="14" spans="1:20" ht="15" x14ac:dyDescent="0.25">
      <c r="C14" s="30"/>
      <c r="D14" s="30"/>
      <c r="E14" s="11"/>
      <c r="F14" s="16" t="s">
        <v>46</v>
      </c>
      <c r="G14" s="16" t="s">
        <v>24</v>
      </c>
      <c r="J14" s="31">
        <f>D20-C20</f>
        <v>-78</v>
      </c>
      <c r="K14" s="11"/>
      <c r="L14" s="16" t="s">
        <v>47</v>
      </c>
      <c r="M14" s="16" t="s">
        <v>142</v>
      </c>
      <c r="Q14" s="45"/>
      <c r="R14" s="11"/>
      <c r="S14" s="15"/>
      <c r="T14" s="15"/>
    </row>
    <row r="15" spans="1:20" ht="16.5" x14ac:dyDescent="0.35">
      <c r="A15" s="2" t="s">
        <v>10</v>
      </c>
      <c r="C15" s="31">
        <f>C9+C13</f>
        <v>10000</v>
      </c>
      <c r="D15" s="31">
        <f>D9+D13</f>
        <v>10406</v>
      </c>
      <c r="E15" s="11"/>
      <c r="F15" s="2" t="s">
        <v>46</v>
      </c>
      <c r="G15" s="16" t="s">
        <v>14</v>
      </c>
      <c r="J15" s="46">
        <f>'Exog. variables'!B23</f>
        <v>350</v>
      </c>
      <c r="K15" s="11"/>
      <c r="L15" s="16" t="s">
        <v>46</v>
      </c>
      <c r="M15" s="16" t="s">
        <v>143</v>
      </c>
      <c r="N15" s="19"/>
      <c r="P15" s="19"/>
      <c r="Q15" s="45">
        <f>'Exog. variables'!B18</f>
        <v>30</v>
      </c>
      <c r="R15" s="11"/>
      <c r="S15" s="15"/>
      <c r="T15" s="15"/>
    </row>
    <row r="16" spans="1:20" ht="15" x14ac:dyDescent="0.25">
      <c r="C16" s="35"/>
      <c r="D16" s="35"/>
      <c r="E16" s="11"/>
      <c r="F16" s="2" t="s">
        <v>25</v>
      </c>
      <c r="J16" s="31">
        <f>SUM(J11:J15)</f>
        <v>39350</v>
      </c>
      <c r="K16" s="11"/>
      <c r="L16" s="16" t="s">
        <v>47</v>
      </c>
      <c r="M16" s="16" t="s">
        <v>144</v>
      </c>
      <c r="N16" s="16" t="s">
        <v>34</v>
      </c>
      <c r="Q16" s="30">
        <v>100</v>
      </c>
      <c r="R16" s="11"/>
      <c r="S16" s="15"/>
      <c r="T16" s="15"/>
    </row>
    <row r="17" spans="1:20" ht="15" x14ac:dyDescent="0.25">
      <c r="A17" s="16" t="s">
        <v>5</v>
      </c>
      <c r="C17" s="30">
        <f>'Exog. variables'!K14</f>
        <v>1500</v>
      </c>
      <c r="D17" s="30">
        <f>'Exog. variables'!M14</f>
        <v>1270</v>
      </c>
      <c r="E17" s="11"/>
      <c r="J17" s="30"/>
      <c r="K17" s="11"/>
      <c r="L17" s="2" t="s">
        <v>29</v>
      </c>
      <c r="Q17" s="31">
        <f>Q13-Q14+Q15-Q16+Q12</f>
        <v>-70</v>
      </c>
      <c r="R17" s="11"/>
      <c r="S17" s="15"/>
      <c r="T17" s="15"/>
    </row>
    <row r="18" spans="1:20" ht="15" x14ac:dyDescent="0.25">
      <c r="A18" s="16" t="s">
        <v>151</v>
      </c>
      <c r="C18" s="30">
        <f>'Exog. variables'!K15</f>
        <v>500</v>
      </c>
      <c r="D18" s="30">
        <f>'Exog. variables'!M15</f>
        <v>450</v>
      </c>
      <c r="E18" s="11"/>
      <c r="F18" s="2" t="s">
        <v>26</v>
      </c>
      <c r="H18" s="2"/>
      <c r="I18" s="2"/>
      <c r="J18" s="31">
        <f>J9-J16</f>
        <v>660</v>
      </c>
      <c r="K18" s="11"/>
      <c r="M18" s="29"/>
      <c r="Q18" s="30"/>
      <c r="R18" s="11"/>
      <c r="S18" s="15"/>
      <c r="T18" s="15"/>
    </row>
    <row r="19" spans="1:20" ht="15" x14ac:dyDescent="0.25">
      <c r="A19" s="16" t="s">
        <v>7</v>
      </c>
      <c r="C19" s="30">
        <f>'Exog. variables'!K16</f>
        <v>3000</v>
      </c>
      <c r="D19" s="30">
        <f>'Exog. variables'!M16</f>
        <v>4000</v>
      </c>
      <c r="E19" s="11"/>
      <c r="F19" s="2"/>
      <c r="J19" s="30"/>
      <c r="K19" s="11"/>
      <c r="L19" s="16" t="s">
        <v>46</v>
      </c>
      <c r="M19" s="16" t="s">
        <v>157</v>
      </c>
      <c r="N19" s="20"/>
      <c r="O19" s="20"/>
      <c r="P19" s="20"/>
      <c r="Q19" s="31">
        <f>D22-C22</f>
        <v>-57</v>
      </c>
      <c r="R19" s="11"/>
      <c r="S19" s="15"/>
      <c r="T19" s="15"/>
    </row>
    <row r="20" spans="1:20" ht="15" x14ac:dyDescent="0.25">
      <c r="A20" s="16" t="s">
        <v>8</v>
      </c>
      <c r="C20" s="30">
        <f>'Exog. variables'!K17</f>
        <v>958</v>
      </c>
      <c r="D20" s="30">
        <f>'Exog. variables'!M17</f>
        <v>880</v>
      </c>
      <c r="E20" s="11"/>
      <c r="F20" s="16" t="s">
        <v>47</v>
      </c>
      <c r="G20" s="16" t="s">
        <v>147</v>
      </c>
      <c r="J20" s="31">
        <f>Q8</f>
        <v>480</v>
      </c>
      <c r="K20" s="11"/>
      <c r="L20" s="16" t="s">
        <v>46</v>
      </c>
      <c r="M20" s="16" t="s">
        <v>158</v>
      </c>
      <c r="Q20" s="31">
        <f>D18-C18</f>
        <v>-50</v>
      </c>
      <c r="R20" s="11"/>
      <c r="S20" s="15"/>
      <c r="T20" s="15"/>
    </row>
    <row r="21" spans="1:20" ht="15" x14ac:dyDescent="0.25">
      <c r="A21" s="2" t="s">
        <v>9</v>
      </c>
      <c r="C21" s="31">
        <f>SUM(C17:C20)</f>
        <v>5958</v>
      </c>
      <c r="D21" s="31">
        <f>SUM(D17:D20)</f>
        <v>6600</v>
      </c>
      <c r="E21" s="11"/>
      <c r="F21" s="2" t="s">
        <v>27</v>
      </c>
      <c r="G21" s="2"/>
      <c r="H21" s="2"/>
      <c r="J21" s="31">
        <f>J18-J20</f>
        <v>180</v>
      </c>
      <c r="K21" s="11"/>
      <c r="L21" s="2" t="s">
        <v>46</v>
      </c>
      <c r="M21" s="16" t="s">
        <v>145</v>
      </c>
      <c r="Q21" s="31">
        <f>D17-C17</f>
        <v>-230</v>
      </c>
      <c r="R21" s="11"/>
      <c r="S21" s="15"/>
      <c r="T21" s="15"/>
    </row>
    <row r="22" spans="1:20" ht="15" x14ac:dyDescent="0.25">
      <c r="A22" s="2" t="s">
        <v>152</v>
      </c>
      <c r="C22" s="30">
        <f>'Exog. variables'!K19</f>
        <v>2042</v>
      </c>
      <c r="D22" s="30">
        <f>'Exog. variables'!M19</f>
        <v>1985</v>
      </c>
      <c r="E22" s="11"/>
      <c r="J22" s="30" t="s">
        <v>34</v>
      </c>
      <c r="K22" s="11"/>
      <c r="L22" s="16" t="s">
        <v>47</v>
      </c>
      <c r="M22" s="16" t="s">
        <v>146</v>
      </c>
      <c r="Q22" s="30">
        <f>'Exog. variables'!B21</f>
        <v>287</v>
      </c>
      <c r="R22" s="11"/>
      <c r="S22" s="15"/>
      <c r="T22" s="15"/>
    </row>
    <row r="23" spans="1:20" ht="15" x14ac:dyDescent="0.25">
      <c r="A23" s="2"/>
      <c r="C23" s="30"/>
      <c r="D23" s="30"/>
      <c r="E23" s="11"/>
      <c r="F23" s="2" t="s">
        <v>47</v>
      </c>
      <c r="G23" s="16" t="s">
        <v>148</v>
      </c>
      <c r="J23" s="31">
        <f>Q9</f>
        <v>72</v>
      </c>
      <c r="K23" s="11"/>
      <c r="L23" s="2" t="s">
        <v>30</v>
      </c>
      <c r="M23" s="2"/>
      <c r="N23" s="2"/>
      <c r="Q23" s="31">
        <f>Q19+Q20+Q21-Q22</f>
        <v>-624</v>
      </c>
      <c r="R23" s="11"/>
      <c r="S23" s="15"/>
      <c r="T23" s="15"/>
    </row>
    <row r="24" spans="1:20" ht="15" x14ac:dyDescent="0.25">
      <c r="A24" s="2" t="s">
        <v>45</v>
      </c>
      <c r="C24" s="31">
        <f>C21+C22</f>
        <v>8000</v>
      </c>
      <c r="D24" s="31">
        <f>D21+D22</f>
        <v>8585</v>
      </c>
      <c r="E24" s="11"/>
      <c r="F24" s="2" t="s">
        <v>156</v>
      </c>
      <c r="G24" s="2"/>
      <c r="J24" s="31">
        <f>J21-J23</f>
        <v>108</v>
      </c>
      <c r="K24" s="11"/>
      <c r="Q24" s="30"/>
      <c r="R24" s="11"/>
      <c r="S24" s="15"/>
      <c r="T24" s="15"/>
    </row>
    <row r="25" spans="1:20" ht="15" x14ac:dyDescent="0.25">
      <c r="C25" s="31"/>
      <c r="D25" s="30"/>
      <c r="E25" s="11"/>
      <c r="J25" s="30"/>
      <c r="K25" s="11"/>
      <c r="L25" s="2" t="s">
        <v>87</v>
      </c>
      <c r="M25" s="2"/>
      <c r="N25" s="2"/>
      <c r="Q25" s="31">
        <f>Q10+Q17+Q23</f>
        <v>-324</v>
      </c>
      <c r="R25" s="11"/>
      <c r="S25" s="15"/>
      <c r="T25" s="15"/>
    </row>
    <row r="26" spans="1:20" ht="15" x14ac:dyDescent="0.25">
      <c r="A26" s="16" t="s">
        <v>50</v>
      </c>
      <c r="C26" s="30">
        <f>C28-C27</f>
        <v>1900</v>
      </c>
      <c r="D26" s="31">
        <f>D28-D27</f>
        <v>1900</v>
      </c>
      <c r="E26" s="11"/>
      <c r="F26" s="16" t="s">
        <v>47</v>
      </c>
      <c r="G26" s="16" t="s">
        <v>146</v>
      </c>
      <c r="J26" s="31">
        <f>Q22</f>
        <v>287</v>
      </c>
      <c r="K26" s="11"/>
      <c r="Q26" s="28"/>
      <c r="R26" s="11"/>
      <c r="S26" s="15"/>
      <c r="T26" s="15"/>
    </row>
    <row r="27" spans="1:20" ht="15" x14ac:dyDescent="0.25">
      <c r="A27" s="16" t="s">
        <v>11</v>
      </c>
      <c r="C27" s="31">
        <v>100</v>
      </c>
      <c r="D27" s="31">
        <f>C27+J27</f>
        <v>-79</v>
      </c>
      <c r="E27" s="11"/>
      <c r="F27" s="2" t="s">
        <v>88</v>
      </c>
      <c r="G27" s="2"/>
      <c r="H27" s="2"/>
      <c r="J27" s="31">
        <f>J24-J26</f>
        <v>-179</v>
      </c>
      <c r="K27" s="11"/>
      <c r="L27" s="2"/>
      <c r="Q27" s="3"/>
      <c r="R27" s="11"/>
      <c r="S27" s="15"/>
      <c r="T27" s="15"/>
    </row>
    <row r="28" spans="1:20" ht="15" x14ac:dyDescent="0.25">
      <c r="A28" s="2" t="s">
        <v>86</v>
      </c>
      <c r="C28" s="31">
        <f>C15-C24</f>
        <v>2000</v>
      </c>
      <c r="D28" s="31">
        <f>D15-D24</f>
        <v>1821</v>
      </c>
      <c r="E28" s="11"/>
      <c r="J28" s="27"/>
      <c r="K28" s="11"/>
      <c r="R28" s="11"/>
      <c r="S28" s="15"/>
      <c r="T28" s="15"/>
    </row>
    <row r="29" spans="1:20" ht="15" x14ac:dyDescent="0.25">
      <c r="A29" s="2" t="s">
        <v>49</v>
      </c>
      <c r="C29" s="31">
        <f>C15</f>
        <v>10000</v>
      </c>
      <c r="D29" s="31">
        <f>D28+D22+D21</f>
        <v>10406</v>
      </c>
      <c r="E29" s="11"/>
      <c r="J29" s="27"/>
      <c r="K29" s="11"/>
      <c r="R29" s="11"/>
      <c r="S29" s="15"/>
      <c r="T29" s="15"/>
    </row>
    <row r="30" spans="1:20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41"/>
      <c r="K30" s="11"/>
      <c r="L30" s="42"/>
      <c r="M30" s="11"/>
      <c r="N30" s="11"/>
      <c r="O30" s="11"/>
      <c r="P30" s="11"/>
      <c r="Q30" s="43"/>
      <c r="R30" s="11"/>
      <c r="S30" s="15"/>
      <c r="T30" s="15"/>
    </row>
    <row r="31" spans="1:20" x14ac:dyDescent="0.2">
      <c r="A31" s="38"/>
      <c r="B31" s="38"/>
      <c r="C31" s="38"/>
      <c r="D31" s="38"/>
      <c r="E31" s="39"/>
      <c r="F31" s="38"/>
      <c r="G31" s="38"/>
      <c r="H31" s="40"/>
      <c r="I31" s="38"/>
      <c r="J31" s="38"/>
      <c r="K31" s="39"/>
      <c r="L31" s="38"/>
      <c r="M31" s="38"/>
      <c r="N31" s="38"/>
      <c r="O31" s="38"/>
      <c r="P31" s="38"/>
      <c r="Q31" s="38"/>
      <c r="R31" s="39"/>
      <c r="S31" s="15"/>
      <c r="T31" s="15"/>
    </row>
    <row r="32" spans="1:20" x14ac:dyDescent="0.2">
      <c r="A32" s="16" t="s">
        <v>37</v>
      </c>
      <c r="C32" s="16" t="s">
        <v>38</v>
      </c>
      <c r="D32" s="16" t="s">
        <v>39</v>
      </c>
      <c r="F32" s="16" t="s">
        <v>40</v>
      </c>
      <c r="G32" s="16" t="s">
        <v>41</v>
      </c>
      <c r="H32" s="16" t="s">
        <v>35</v>
      </c>
      <c r="I32" s="16" t="s">
        <v>36</v>
      </c>
      <c r="Q32" s="21"/>
      <c r="R32" s="37"/>
      <c r="S32" s="15"/>
      <c r="T32" s="15"/>
    </row>
    <row r="33" spans="1:20" x14ac:dyDescent="0.2">
      <c r="A33" s="34" t="s">
        <v>135</v>
      </c>
      <c r="B33" s="34"/>
      <c r="C33" s="34"/>
      <c r="D33" s="3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R33" s="37"/>
      <c r="S33" s="15"/>
      <c r="T33" s="15"/>
    </row>
    <row r="34" spans="1:20" x14ac:dyDescent="0.2">
      <c r="A34" s="34"/>
      <c r="B34" s="34"/>
      <c r="C34" s="34"/>
      <c r="D34" s="3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R34" s="37"/>
      <c r="S34" s="15"/>
      <c r="T34" s="15"/>
    </row>
    <row r="35" spans="1:20" x14ac:dyDescent="0.2">
      <c r="B35" s="23">
        <v>42369</v>
      </c>
      <c r="C35" s="1">
        <v>43465</v>
      </c>
      <c r="D35" s="1" t="s">
        <v>31</v>
      </c>
      <c r="H35" s="1">
        <v>43465</v>
      </c>
      <c r="I35" s="16" t="s">
        <v>33</v>
      </c>
      <c r="P35" s="37"/>
      <c r="Q35" s="37"/>
      <c r="R35" s="37"/>
      <c r="S35" s="15"/>
      <c r="T35" s="15"/>
    </row>
    <row r="36" spans="1:20" x14ac:dyDescent="0.2">
      <c r="A36" s="24" t="s">
        <v>16</v>
      </c>
      <c r="E36" s="24" t="s">
        <v>19</v>
      </c>
      <c r="F36" s="25"/>
      <c r="I36" s="48"/>
      <c r="J36" s="24" t="s">
        <v>79</v>
      </c>
    </row>
    <row r="37" spans="1:20" ht="15" x14ac:dyDescent="0.25">
      <c r="A37" s="16" t="s">
        <v>120</v>
      </c>
      <c r="B37" s="26">
        <f>D10/D21</f>
        <v>0</v>
      </c>
      <c r="C37" s="50">
        <f>C9/C21</f>
        <v>1.0607586438402148</v>
      </c>
      <c r="D37" s="53">
        <v>1.3</v>
      </c>
      <c r="E37" s="16" t="s">
        <v>92</v>
      </c>
      <c r="H37" s="50">
        <f>(J9)/C7</f>
        <v>10.669333333333332</v>
      </c>
      <c r="I37" s="48">
        <v>7.7</v>
      </c>
      <c r="J37" s="16" t="s">
        <v>112</v>
      </c>
      <c r="L37" s="53">
        <v>350</v>
      </c>
    </row>
    <row r="38" spans="1:20" ht="15" x14ac:dyDescent="0.25">
      <c r="A38" s="16" t="s">
        <v>121</v>
      </c>
      <c r="B38" s="26">
        <f>(D10-D9)/D21</f>
        <v>-1.0615151515151515</v>
      </c>
      <c r="C38" s="50">
        <f>(C9-C7)/C21</f>
        <v>0.43135280295401141</v>
      </c>
      <c r="D38" s="53">
        <v>0.7</v>
      </c>
      <c r="E38" s="16" t="s">
        <v>126</v>
      </c>
      <c r="H38" s="50">
        <f>365/H37</f>
        <v>34.210197450637345</v>
      </c>
      <c r="I38" s="48">
        <v>47.4</v>
      </c>
      <c r="J38" s="16" t="s">
        <v>81</v>
      </c>
      <c r="L38" s="53">
        <f>J21 - L37</f>
        <v>-170</v>
      </c>
    </row>
    <row r="39" spans="1:20" ht="15" x14ac:dyDescent="0.25">
      <c r="C39" s="51"/>
      <c r="D39" s="53"/>
      <c r="E39" s="16" t="s">
        <v>93</v>
      </c>
      <c r="H39" s="50">
        <f>(J9)/C15</f>
        <v>4.0010000000000003</v>
      </c>
      <c r="I39" s="48">
        <v>3.2</v>
      </c>
      <c r="J39" s="16" t="s">
        <v>80</v>
      </c>
      <c r="L39" s="49">
        <f>L38/C28</f>
        <v>-8.5000000000000006E-2</v>
      </c>
      <c r="Q39" s="3"/>
    </row>
    <row r="40" spans="1:20" ht="15" x14ac:dyDescent="0.25">
      <c r="A40" s="24" t="s">
        <v>17</v>
      </c>
      <c r="C40" s="51"/>
      <c r="D40" s="53"/>
      <c r="E40" s="16" t="s">
        <v>127</v>
      </c>
      <c r="H40" s="50">
        <f>365/H39</f>
        <v>91.227193201699563</v>
      </c>
      <c r="I40" s="48">
        <v>114.1</v>
      </c>
      <c r="J40" s="16" t="s">
        <v>82</v>
      </c>
      <c r="L40" s="53">
        <f>J21-L37+J20</f>
        <v>310</v>
      </c>
    </row>
    <row r="41" spans="1:20" ht="15" x14ac:dyDescent="0.25">
      <c r="A41" s="16" t="s">
        <v>122</v>
      </c>
      <c r="B41" s="26">
        <f>(D29-D28)/D15</f>
        <v>0.82500480492023831</v>
      </c>
      <c r="C41" s="50">
        <f>(C29-C28)/C15</f>
        <v>0.8</v>
      </c>
      <c r="D41" s="53">
        <v>0.91</v>
      </c>
      <c r="E41" s="16" t="s">
        <v>94</v>
      </c>
      <c r="H41" s="50">
        <f>(J9)/C6</f>
        <v>24.396341463414632</v>
      </c>
      <c r="I41" s="48">
        <v>11.41</v>
      </c>
      <c r="J41" s="16" t="s">
        <v>83</v>
      </c>
      <c r="L41" s="49">
        <f>L40/C29</f>
        <v>3.1E-2</v>
      </c>
    </row>
    <row r="42" spans="1:20" ht="15" x14ac:dyDescent="0.25">
      <c r="A42" s="16" t="s">
        <v>123</v>
      </c>
      <c r="B42" s="26">
        <f>(D29-D28)/D28</f>
        <v>4.7144426139483802</v>
      </c>
      <c r="C42" s="50">
        <f>(C29-C28)/C28</f>
        <v>4</v>
      </c>
      <c r="D42" s="53">
        <v>2</v>
      </c>
      <c r="E42" s="16" t="s">
        <v>128</v>
      </c>
      <c r="H42" s="50">
        <f>365/H41</f>
        <v>14.961259685078732</v>
      </c>
      <c r="I42" s="48">
        <v>32</v>
      </c>
      <c r="J42" s="16" t="s">
        <v>84</v>
      </c>
      <c r="L42" s="49">
        <f>L39*(1-'Exog. variables'!B15)</f>
        <v>-5.1000000000000004E-2</v>
      </c>
    </row>
    <row r="43" spans="1:20" ht="15" x14ac:dyDescent="0.25">
      <c r="A43" s="16" t="s">
        <v>134</v>
      </c>
      <c r="B43" s="26">
        <f>(D29)/D28</f>
        <v>5.7144426139483802</v>
      </c>
      <c r="C43" s="50">
        <f>(C29)/C28</f>
        <v>5</v>
      </c>
      <c r="D43" s="53">
        <v>2.2000000000000002</v>
      </c>
      <c r="E43" s="16" t="s">
        <v>95</v>
      </c>
      <c r="H43" s="51">
        <f>(J11+J12)/C19</f>
        <v>9.3333333333333339</v>
      </c>
      <c r="I43" s="49">
        <v>0.12590000000000001</v>
      </c>
      <c r="J43" s="16" t="s">
        <v>133</v>
      </c>
      <c r="L43" s="49">
        <f>L41*0.9</f>
        <v>2.7900000000000001E-2</v>
      </c>
    </row>
    <row r="44" spans="1:20" ht="15" x14ac:dyDescent="0.25">
      <c r="C44" s="51"/>
      <c r="D44" s="53"/>
      <c r="E44" s="16" t="s">
        <v>129</v>
      </c>
      <c r="H44" s="50">
        <f>365/H43</f>
        <v>39.107142857142854</v>
      </c>
      <c r="I44" s="49">
        <v>0.28999999999999998</v>
      </c>
      <c r="L44" s="49">
        <f>L41*(1-'Exog. variables'!B17)</f>
        <v>2.7900000000000001E-2</v>
      </c>
    </row>
    <row r="45" spans="1:20" ht="15" x14ac:dyDescent="0.25">
      <c r="A45" s="24" t="s">
        <v>89</v>
      </c>
      <c r="C45" s="51"/>
      <c r="D45" s="48"/>
      <c r="E45" s="24"/>
      <c r="H45" s="50"/>
      <c r="I45" s="49"/>
    </row>
    <row r="46" spans="1:20" ht="15" x14ac:dyDescent="0.25">
      <c r="A46" s="16" t="s">
        <v>124</v>
      </c>
      <c r="C46" s="50">
        <f>J18/J20</f>
        <v>1.375</v>
      </c>
      <c r="D46" s="48">
        <v>2.5</v>
      </c>
      <c r="E46" s="24" t="s">
        <v>96</v>
      </c>
      <c r="H46" s="50"/>
      <c r="I46" s="49"/>
    </row>
    <row r="47" spans="1:20" ht="15" x14ac:dyDescent="0.25">
      <c r="A47" s="16" t="s">
        <v>125</v>
      </c>
      <c r="C47" s="50">
        <f>(J18+J15)/(J20+C18)</f>
        <v>1.0306122448979591</v>
      </c>
      <c r="D47" s="53">
        <v>1.4</v>
      </c>
      <c r="E47" s="16" t="s">
        <v>130</v>
      </c>
      <c r="H47" s="52">
        <f>J21/J9</f>
        <v>4.4988752811797048E-3</v>
      </c>
      <c r="I47" s="49">
        <v>1.03E-2</v>
      </c>
    </row>
    <row r="48" spans="1:20" ht="15" x14ac:dyDescent="0.25">
      <c r="D48" s="48"/>
      <c r="E48" s="16" t="s">
        <v>90</v>
      </c>
      <c r="H48" s="52">
        <f>(J18)/C29</f>
        <v>6.6000000000000003E-2</v>
      </c>
      <c r="I48" s="49">
        <v>3.3000000000000002E-2</v>
      </c>
    </row>
    <row r="49" spans="5:9" x14ac:dyDescent="0.2">
      <c r="E49" s="16" t="s">
        <v>131</v>
      </c>
      <c r="H49" s="49">
        <f>(J18-J23)/C29</f>
        <v>5.8799999999999998E-2</v>
      </c>
      <c r="I49" s="48"/>
    </row>
    <row r="50" spans="5:9" x14ac:dyDescent="0.2">
      <c r="E50" s="16" t="s">
        <v>97</v>
      </c>
      <c r="H50" s="49">
        <f>J21/C28</f>
        <v>0.09</v>
      </c>
      <c r="I50" s="49">
        <v>0.107</v>
      </c>
    </row>
    <row r="51" spans="5:9" x14ac:dyDescent="0.2">
      <c r="E51" s="16" t="s">
        <v>132</v>
      </c>
      <c r="H51" s="49">
        <f>J24/C28</f>
        <v>5.3999999999999999E-2</v>
      </c>
    </row>
    <row r="60" spans="5:9" x14ac:dyDescent="0.2">
      <c r="I60" s="16" t="s">
        <v>34</v>
      </c>
    </row>
  </sheetData>
  <customSheetViews>
    <customSheetView guid="{078A71FC-7296-45EA-917B-C712F42DA7F4}" scale="85" hiddenColumns="1">
      <pane xSplit="4" topLeftCell="E1" activePane="topRight" state="frozen"/>
      <selection pane="topRight" activeCell="M26" sqref="M26"/>
      <pageMargins left="0.7" right="0.7" top="0.75" bottom="0.75" header="0.3" footer="0.3"/>
      <pageSetup orientation="portrait" r:id="rId1"/>
    </customSheetView>
    <customSheetView guid="{1ED1EB8F-C346-42C9-81C4-0794DCA17BB6}" scale="85" hiddenColumns="1" topLeftCell="A24">
      <pane xSplit="4" topLeftCell="E1" activePane="topRight" state="frozen"/>
      <selection pane="topRight" activeCell="Q41" sqref="Q41:S41"/>
      <pageMargins left="0.7" right="0.7" top="0.75" bottom="0.75" header="0.3" footer="0.3"/>
      <pageSetup orientation="portrait" r:id="rId2"/>
    </customSheetView>
  </customSheetViews>
  <mergeCells count="3">
    <mergeCell ref="L2:Q3"/>
    <mergeCell ref="A2:D3"/>
    <mergeCell ref="F2:J3"/>
  </mergeCell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7" sqref="B7"/>
    </sheetView>
  </sheetViews>
  <sheetFormatPr defaultRowHeight="15" x14ac:dyDescent="0.25"/>
  <cols>
    <col min="1" max="1" width="25.28515625" customWidth="1"/>
    <col min="4" max="4" width="10.140625" bestFit="1" customWidth="1"/>
    <col min="7" max="7" width="12.5703125" customWidth="1"/>
  </cols>
  <sheetData>
    <row r="1" spans="1:13" x14ac:dyDescent="0.25">
      <c r="A1" t="s">
        <v>117</v>
      </c>
      <c r="I1" t="s">
        <v>115</v>
      </c>
      <c r="M1" t="s">
        <v>116</v>
      </c>
    </row>
    <row r="2" spans="1:13" x14ac:dyDescent="0.25">
      <c r="A2" t="s">
        <v>161</v>
      </c>
      <c r="B2" t="s">
        <v>160</v>
      </c>
      <c r="D2" s="4"/>
      <c r="I2" t="s">
        <v>1</v>
      </c>
      <c r="K2">
        <v>930</v>
      </c>
    </row>
    <row r="3" spans="1:13" x14ac:dyDescent="0.25">
      <c r="A3" t="s">
        <v>98</v>
      </c>
      <c r="B3" s="33">
        <v>39000</v>
      </c>
      <c r="D3" s="4">
        <v>38990</v>
      </c>
      <c r="E3">
        <v>337</v>
      </c>
      <c r="G3" s="4">
        <f>SUM(D3:F3)</f>
        <v>39327</v>
      </c>
      <c r="I3" t="s">
        <v>2</v>
      </c>
      <c r="K3">
        <v>1640</v>
      </c>
      <c r="M3">
        <v>1200</v>
      </c>
    </row>
    <row r="4" spans="1:13" x14ac:dyDescent="0.25">
      <c r="B4" s="33"/>
      <c r="D4" s="4"/>
      <c r="I4" t="s">
        <v>3</v>
      </c>
      <c r="K4">
        <v>3750</v>
      </c>
      <c r="M4">
        <v>5200</v>
      </c>
    </row>
    <row r="5" spans="1:13" x14ac:dyDescent="0.25">
      <c r="A5" t="s">
        <v>99</v>
      </c>
      <c r="B5" s="33">
        <v>20000</v>
      </c>
      <c r="D5" s="4">
        <v>20000</v>
      </c>
      <c r="E5">
        <v>2.1</v>
      </c>
      <c r="G5" s="4">
        <f>SUM(D5:F5)</f>
        <v>20002.099999999999</v>
      </c>
      <c r="I5" t="s">
        <v>113</v>
      </c>
      <c r="K5">
        <v>0</v>
      </c>
    </row>
    <row r="6" spans="1:13" x14ac:dyDescent="0.25">
      <c r="A6" t="s">
        <v>100</v>
      </c>
      <c r="B6" s="33">
        <v>7000</v>
      </c>
    </row>
    <row r="7" spans="1:13" x14ac:dyDescent="0.25">
      <c r="A7" t="s">
        <v>101</v>
      </c>
      <c r="B7" s="33">
        <f>SUM(B5:B6)</f>
        <v>27000</v>
      </c>
    </row>
    <row r="8" spans="1:13" x14ac:dyDescent="0.25">
      <c r="B8" s="33"/>
      <c r="D8" s="4"/>
      <c r="I8" t="s">
        <v>42</v>
      </c>
      <c r="K8">
        <v>2990</v>
      </c>
    </row>
    <row r="9" spans="1:13" x14ac:dyDescent="0.25">
      <c r="A9" t="s">
        <v>102</v>
      </c>
      <c r="B9" s="33">
        <v>1878</v>
      </c>
      <c r="D9" s="4">
        <v>1878</v>
      </c>
      <c r="E9">
        <v>71.5</v>
      </c>
      <c r="G9" s="4">
        <f>SUM(D9:F9)</f>
        <v>1949.5</v>
      </c>
      <c r="I9" t="s">
        <v>43</v>
      </c>
      <c r="K9">
        <v>690</v>
      </c>
    </row>
    <row r="10" spans="1:13" x14ac:dyDescent="0.25">
      <c r="A10" t="s">
        <v>103</v>
      </c>
      <c r="B10" s="33">
        <v>9200</v>
      </c>
      <c r="D10" s="4"/>
    </row>
    <row r="11" spans="1:13" x14ac:dyDescent="0.25">
      <c r="A11" t="s">
        <v>104</v>
      </c>
      <c r="B11" s="33">
        <f>SUM(B9:B10)</f>
        <v>11078</v>
      </c>
      <c r="D11" s="4"/>
    </row>
    <row r="12" spans="1:13" x14ac:dyDescent="0.25">
      <c r="B12" s="33"/>
    </row>
    <row r="13" spans="1:13" x14ac:dyDescent="0.25">
      <c r="A13" t="s">
        <v>111</v>
      </c>
      <c r="B13" s="4">
        <v>0.06</v>
      </c>
    </row>
    <row r="14" spans="1:13" x14ac:dyDescent="0.25">
      <c r="A14" t="s">
        <v>105</v>
      </c>
      <c r="B14" s="33">
        <f>B13*'435 cfs template'!C24</f>
        <v>480</v>
      </c>
      <c r="D14" s="5"/>
      <c r="I14" t="s">
        <v>5</v>
      </c>
      <c r="K14">
        <v>1500</v>
      </c>
      <c r="M14">
        <v>1270</v>
      </c>
    </row>
    <row r="15" spans="1:13" x14ac:dyDescent="0.25">
      <c r="A15" t="s">
        <v>118</v>
      </c>
      <c r="B15" s="36">
        <v>0.4</v>
      </c>
      <c r="D15" s="5"/>
      <c r="I15" t="s">
        <v>6</v>
      </c>
      <c r="K15">
        <v>500</v>
      </c>
      <c r="M15">
        <v>450</v>
      </c>
    </row>
    <row r="16" spans="1:13" x14ac:dyDescent="0.25">
      <c r="A16" t="s">
        <v>48</v>
      </c>
      <c r="B16" s="33">
        <f>B15*'435 cfs template'!J21</f>
        <v>72</v>
      </c>
      <c r="D16" s="4"/>
      <c r="E16" s="4"/>
      <c r="I16" t="s">
        <v>7</v>
      </c>
      <c r="K16">
        <v>3000</v>
      </c>
      <c r="M16">
        <v>4000</v>
      </c>
    </row>
    <row r="17" spans="1:13" x14ac:dyDescent="0.25">
      <c r="A17" t="s">
        <v>119</v>
      </c>
      <c r="B17" s="4">
        <v>0.1</v>
      </c>
      <c r="D17" s="4"/>
      <c r="E17" s="4"/>
      <c r="I17" t="s">
        <v>8</v>
      </c>
      <c r="K17">
        <v>958</v>
      </c>
      <c r="M17">
        <v>880</v>
      </c>
    </row>
    <row r="18" spans="1:13" x14ac:dyDescent="0.25">
      <c r="A18" t="s">
        <v>106</v>
      </c>
      <c r="B18" s="33">
        <v>30</v>
      </c>
      <c r="D18" s="4"/>
      <c r="E18" s="4"/>
    </row>
    <row r="19" spans="1:13" x14ac:dyDescent="0.25">
      <c r="A19" t="s">
        <v>107</v>
      </c>
      <c r="B19" s="33">
        <v>100</v>
      </c>
      <c r="D19" s="4"/>
      <c r="E19" s="4"/>
      <c r="I19" t="s">
        <v>114</v>
      </c>
      <c r="K19">
        <v>2042</v>
      </c>
      <c r="M19">
        <v>1985</v>
      </c>
    </row>
    <row r="20" spans="1:13" x14ac:dyDescent="0.25">
      <c r="B20" s="33"/>
    </row>
    <row r="21" spans="1:13" x14ac:dyDescent="0.25">
      <c r="A21" t="s">
        <v>108</v>
      </c>
      <c r="B21" s="33">
        <v>287</v>
      </c>
      <c r="D21" s="8"/>
    </row>
    <row r="22" spans="1:13" x14ac:dyDescent="0.25">
      <c r="D22" s="8"/>
    </row>
    <row r="23" spans="1:13" x14ac:dyDescent="0.25">
      <c r="A23" t="s">
        <v>14</v>
      </c>
      <c r="B23" s="33">
        <v>350</v>
      </c>
    </row>
  </sheetData>
  <customSheetViews>
    <customSheetView guid="{078A71FC-7296-45EA-917B-C712F42DA7F4}">
      <selection activeCell="G10" sqref="G10:G11"/>
      <pageMargins left="0.7" right="0.7" top="0.75" bottom="0.75" header="0.3" footer="0.3"/>
    </customSheetView>
    <customSheetView guid="{1ED1EB8F-C346-42C9-81C4-0794DCA17BB6}">
      <selection activeCell="G10" sqref="G10:G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5" zoomScaleNormal="85" workbookViewId="0">
      <selection activeCell="H19" sqref="H19"/>
    </sheetView>
  </sheetViews>
  <sheetFormatPr defaultRowHeight="15" x14ac:dyDescent="0.25"/>
  <cols>
    <col min="1" max="1" width="12.7109375" customWidth="1"/>
    <col min="2" max="2" width="11.7109375" customWidth="1"/>
    <col min="3" max="3" width="12.85546875" customWidth="1"/>
    <col min="4" max="4" width="10.42578125" customWidth="1"/>
  </cols>
  <sheetData>
    <row r="1" spans="1:5" x14ac:dyDescent="0.25">
      <c r="A1" t="s">
        <v>165</v>
      </c>
    </row>
    <row r="2" spans="1:5" x14ac:dyDescent="0.25">
      <c r="C2" t="s">
        <v>164</v>
      </c>
    </row>
    <row r="3" spans="1:5" x14ac:dyDescent="0.25">
      <c r="A3" t="s">
        <v>69</v>
      </c>
      <c r="B3" t="s">
        <v>70</v>
      </c>
      <c r="C3" t="s">
        <v>71</v>
      </c>
      <c r="D3" t="s">
        <v>72</v>
      </c>
      <c r="E3" t="s">
        <v>163</v>
      </c>
    </row>
    <row r="4" spans="1:5" x14ac:dyDescent="0.25">
      <c r="A4" s="6" t="s">
        <v>22</v>
      </c>
    </row>
    <row r="5" spans="1:5" x14ac:dyDescent="0.25">
      <c r="A5" t="s">
        <v>54</v>
      </c>
      <c r="B5" s="7">
        <f>'435 cfs template'!D46</f>
        <v>2.5</v>
      </c>
      <c r="C5" s="7">
        <f>'435 cfs template'!C46</f>
        <v>1.375</v>
      </c>
      <c r="D5" s="7">
        <v>1.3541666666666667</v>
      </c>
      <c r="E5" s="7">
        <f t="shared" ref="E5:E29" si="0">C5</f>
        <v>1.375</v>
      </c>
    </row>
    <row r="6" spans="1:5" x14ac:dyDescent="0.25">
      <c r="A6" t="s">
        <v>55</v>
      </c>
      <c r="B6" s="7">
        <f>'435 cfs template'!D47</f>
        <v>1.4</v>
      </c>
      <c r="C6" s="7">
        <f>'435 cfs template'!C47</f>
        <v>1.0306122448979591</v>
      </c>
      <c r="D6" s="7">
        <v>1.0204081632653061</v>
      </c>
      <c r="E6" s="7">
        <f t="shared" si="0"/>
        <v>1.0306122448979591</v>
      </c>
    </row>
    <row r="7" spans="1:5" x14ac:dyDescent="0.25">
      <c r="E7" s="7">
        <f t="shared" si="0"/>
        <v>0</v>
      </c>
    </row>
    <row r="8" spans="1:5" x14ac:dyDescent="0.25">
      <c r="A8" s="6" t="s">
        <v>32</v>
      </c>
      <c r="E8" s="7">
        <f t="shared" si="0"/>
        <v>0</v>
      </c>
    </row>
    <row r="9" spans="1:5" x14ac:dyDescent="0.25">
      <c r="A9" t="s">
        <v>56</v>
      </c>
      <c r="B9" s="8">
        <f>'435 cfs template'!I48</f>
        <v>3.3000000000000002E-2</v>
      </c>
      <c r="C9" s="8">
        <f>'435 cfs template'!H48</f>
        <v>6.6000000000000003E-2</v>
      </c>
      <c r="D9" s="8">
        <v>6.5000000000000002E-2</v>
      </c>
      <c r="E9" s="7">
        <f t="shared" si="0"/>
        <v>6.6000000000000003E-2</v>
      </c>
    </row>
    <row r="10" spans="1:5" x14ac:dyDescent="0.25">
      <c r="A10" t="s">
        <v>57</v>
      </c>
      <c r="B10" s="8">
        <f>'435 cfs template'!I50</f>
        <v>0.107</v>
      </c>
      <c r="C10" s="8">
        <f>'435 cfs template'!H50</f>
        <v>0.09</v>
      </c>
      <c r="D10" s="8">
        <v>8.5000000000000006E-2</v>
      </c>
      <c r="E10" s="7">
        <f t="shared" si="0"/>
        <v>0.09</v>
      </c>
    </row>
    <row r="11" spans="1:5" x14ac:dyDescent="0.25">
      <c r="A11" t="s">
        <v>58</v>
      </c>
      <c r="B11" s="8">
        <f>'435 cfs template'!I44</f>
        <v>0.28999999999999998</v>
      </c>
      <c r="C11" s="8">
        <f>'435 cfs template'!H47</f>
        <v>4.4988752811797048E-3</v>
      </c>
      <c r="D11" s="8">
        <v>4.2500000000000003E-3</v>
      </c>
      <c r="E11" s="7">
        <f t="shared" si="0"/>
        <v>4.4988752811797048E-3</v>
      </c>
    </row>
    <row r="12" spans="1:5" x14ac:dyDescent="0.25">
      <c r="E12" s="7">
        <f t="shared" si="0"/>
        <v>0</v>
      </c>
    </row>
    <row r="13" spans="1:5" x14ac:dyDescent="0.25">
      <c r="A13" s="6" t="s">
        <v>59</v>
      </c>
      <c r="E13" s="7">
        <f t="shared" si="0"/>
        <v>0</v>
      </c>
    </row>
    <row r="14" spans="1:5" x14ac:dyDescent="0.25">
      <c r="A14" t="s">
        <v>60</v>
      </c>
      <c r="B14">
        <f>'435 cfs template'!I37</f>
        <v>7.7</v>
      </c>
      <c r="C14" s="7">
        <f>'435 cfs template'!H37</f>
        <v>10.669333333333332</v>
      </c>
      <c r="D14" s="7">
        <v>10.666666666666666</v>
      </c>
      <c r="E14" s="7">
        <f t="shared" si="0"/>
        <v>10.669333333333332</v>
      </c>
    </row>
    <row r="15" spans="1:5" x14ac:dyDescent="0.25">
      <c r="A15" t="s">
        <v>51</v>
      </c>
      <c r="B15">
        <f>'435 cfs template'!I38</f>
        <v>47.4</v>
      </c>
      <c r="C15" s="7">
        <f>'435 cfs template'!H38</f>
        <v>34.210197450637345</v>
      </c>
      <c r="D15" s="7">
        <v>34.21875</v>
      </c>
      <c r="E15" s="7">
        <f t="shared" si="0"/>
        <v>34.210197450637345</v>
      </c>
    </row>
    <row r="16" spans="1:5" x14ac:dyDescent="0.25">
      <c r="A16" t="s">
        <v>61</v>
      </c>
      <c r="B16">
        <f>'435 cfs template'!I39</f>
        <v>3.2</v>
      </c>
      <c r="C16" s="7">
        <f>'435 cfs template'!H39</f>
        <v>4.0010000000000003</v>
      </c>
      <c r="D16" s="7">
        <v>4</v>
      </c>
      <c r="E16" s="7">
        <f t="shared" si="0"/>
        <v>4.0010000000000003</v>
      </c>
    </row>
    <row r="17" spans="1:5" x14ac:dyDescent="0.25">
      <c r="A17" t="s">
        <v>52</v>
      </c>
      <c r="B17">
        <f>'435 cfs template'!I40</f>
        <v>114.1</v>
      </c>
      <c r="C17" s="7">
        <f>'435 cfs template'!H40</f>
        <v>91.227193201699563</v>
      </c>
      <c r="D17" s="7">
        <v>91.25</v>
      </c>
      <c r="E17" s="7">
        <f t="shared" si="0"/>
        <v>91.227193201699563</v>
      </c>
    </row>
    <row r="18" spans="1:5" x14ac:dyDescent="0.25">
      <c r="A18" t="s">
        <v>62</v>
      </c>
      <c r="B18">
        <f>'435 cfs template'!I41</f>
        <v>11.41</v>
      </c>
      <c r="C18" s="7">
        <f>'435 cfs template'!H41</f>
        <v>24.396341463414632</v>
      </c>
      <c r="D18" s="7">
        <v>24.390243902439025</v>
      </c>
      <c r="E18" s="7">
        <f t="shared" si="0"/>
        <v>24.396341463414632</v>
      </c>
    </row>
    <row r="19" spans="1:5" x14ac:dyDescent="0.25">
      <c r="A19" t="s">
        <v>53</v>
      </c>
      <c r="B19">
        <f>'435 cfs template'!I42</f>
        <v>32</v>
      </c>
      <c r="C19" s="7">
        <f>'435 cfs template'!H42</f>
        <v>14.961259685078732</v>
      </c>
      <c r="D19" s="7">
        <v>14.965</v>
      </c>
      <c r="E19" s="7">
        <f t="shared" si="0"/>
        <v>14.961259685078732</v>
      </c>
    </row>
    <row r="20" spans="1:5" x14ac:dyDescent="0.25">
      <c r="A20" t="s">
        <v>68</v>
      </c>
      <c r="B20">
        <v>12.59</v>
      </c>
      <c r="C20" s="7">
        <f>'435 cfs template'!H43</f>
        <v>9.3333333333333339</v>
      </c>
      <c r="D20" s="7">
        <v>9.33</v>
      </c>
      <c r="E20" s="7">
        <f t="shared" si="0"/>
        <v>9.3333333333333339</v>
      </c>
    </row>
    <row r="21" spans="1:5" x14ac:dyDescent="0.25">
      <c r="A21" t="s">
        <v>159</v>
      </c>
      <c r="B21">
        <v>29</v>
      </c>
      <c r="C21" s="7">
        <f>'435 cfs template'!H44</f>
        <v>39.107142857142854</v>
      </c>
      <c r="D21" s="7">
        <v>39.119999999999997</v>
      </c>
      <c r="E21" s="7">
        <f t="shared" si="0"/>
        <v>39.107142857142854</v>
      </c>
    </row>
    <row r="22" spans="1:5" x14ac:dyDescent="0.25">
      <c r="A22" s="6" t="s">
        <v>63</v>
      </c>
      <c r="E22" s="7">
        <f t="shared" si="0"/>
        <v>0</v>
      </c>
    </row>
    <row r="23" spans="1:5" x14ac:dyDescent="0.25">
      <c r="A23" t="s">
        <v>64</v>
      </c>
      <c r="B23" s="7">
        <f>'435 cfs template'!D37</f>
        <v>1.3</v>
      </c>
      <c r="C23" s="7">
        <f>'435 cfs template'!C37</f>
        <v>1.0607586438402148</v>
      </c>
      <c r="D23" s="7">
        <v>1.0606060606060606</v>
      </c>
      <c r="E23" s="7">
        <f t="shared" si="0"/>
        <v>1.0607586438402148</v>
      </c>
    </row>
    <row r="24" spans="1:5" x14ac:dyDescent="0.25">
      <c r="A24" t="s">
        <v>65</v>
      </c>
      <c r="B24" s="7">
        <f>'435 cfs template'!D38</f>
        <v>0.7</v>
      </c>
      <c r="C24" s="7">
        <f>'435 cfs template'!C38</f>
        <v>0.43135280295401141</v>
      </c>
      <c r="D24" s="7">
        <v>0.43135280295401141</v>
      </c>
      <c r="E24" s="7">
        <f t="shared" si="0"/>
        <v>0.43135280295401141</v>
      </c>
    </row>
    <row r="25" spans="1:5" x14ac:dyDescent="0.25">
      <c r="E25" s="7">
        <f t="shared" si="0"/>
        <v>0</v>
      </c>
    </row>
    <row r="26" spans="1:5" x14ac:dyDescent="0.25">
      <c r="A26" s="6" t="s">
        <v>66</v>
      </c>
      <c r="E26" s="7">
        <f t="shared" si="0"/>
        <v>0</v>
      </c>
    </row>
    <row r="27" spans="1:5" x14ac:dyDescent="0.25">
      <c r="A27" t="s">
        <v>67</v>
      </c>
      <c r="B27" s="7">
        <f>'435 cfs template'!D41</f>
        <v>0.91</v>
      </c>
      <c r="C27" s="7">
        <f>'435 cfs template'!C41</f>
        <v>0.8</v>
      </c>
      <c r="D27" s="7">
        <v>0.8</v>
      </c>
      <c r="E27" s="7">
        <f t="shared" si="0"/>
        <v>0.8</v>
      </c>
    </row>
    <row r="28" spans="1:5" x14ac:dyDescent="0.25">
      <c r="A28" t="s">
        <v>18</v>
      </c>
      <c r="B28" s="7">
        <f>'435 cfs template'!D42</f>
        <v>2</v>
      </c>
      <c r="C28" s="7">
        <f>'435 cfs template'!C42</f>
        <v>4</v>
      </c>
      <c r="D28" s="7">
        <v>4</v>
      </c>
      <c r="E28" s="7">
        <f t="shared" si="0"/>
        <v>4</v>
      </c>
    </row>
    <row r="29" spans="1:5" x14ac:dyDescent="0.25">
      <c r="A29" t="s">
        <v>21</v>
      </c>
      <c r="B29" s="7">
        <f>'435 cfs template'!D43</f>
        <v>2.2000000000000002</v>
      </c>
      <c r="C29" s="7">
        <f>'435 cfs template'!C43</f>
        <v>5</v>
      </c>
      <c r="D29" s="7">
        <v>5</v>
      </c>
      <c r="E29" s="7">
        <f t="shared" si="0"/>
        <v>5</v>
      </c>
    </row>
  </sheetData>
  <customSheetViews>
    <customSheetView guid="{078A71FC-7296-45EA-917B-C712F42DA7F4}">
      <selection activeCell="C5" sqref="C5"/>
      <pageMargins left="0.7" right="0.7" top="0.75" bottom="0.75" header="0.3" footer="0.3"/>
    </customSheetView>
    <customSheetView guid="{1ED1EB8F-C346-42C9-81C4-0794DCA17BB6}">
      <selection activeCell="C5" sqref="C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6" sqref="H6"/>
    </sheetView>
  </sheetViews>
  <sheetFormatPr defaultRowHeight="15" x14ac:dyDescent="0.25"/>
  <cols>
    <col min="3" max="3" width="14.140625" customWidth="1"/>
    <col min="4" max="4" width="12.140625" bestFit="1" customWidth="1"/>
    <col min="6" max="7" width="10.5703125" customWidth="1"/>
  </cols>
  <sheetData>
    <row r="1" spans="1:7" x14ac:dyDescent="0.25">
      <c r="A1" t="s">
        <v>13</v>
      </c>
    </row>
    <row r="3" spans="1:7" x14ac:dyDescent="0.25">
      <c r="C3" t="s">
        <v>78</v>
      </c>
      <c r="D3" t="s">
        <v>78</v>
      </c>
    </row>
    <row r="4" spans="1:7" x14ac:dyDescent="0.25">
      <c r="A4" t="s">
        <v>0</v>
      </c>
      <c r="C4" s="9">
        <v>43100</v>
      </c>
      <c r="D4" s="9">
        <v>43465</v>
      </c>
      <c r="E4" t="s">
        <v>73</v>
      </c>
      <c r="F4" t="s">
        <v>109</v>
      </c>
      <c r="G4" t="s">
        <v>110</v>
      </c>
    </row>
    <row r="5" spans="1:7" x14ac:dyDescent="0.25">
      <c r="A5" t="s">
        <v>4</v>
      </c>
    </row>
    <row r="6" spans="1:7" x14ac:dyDescent="0.25">
      <c r="A6" t="s">
        <v>1</v>
      </c>
      <c r="C6" s="8">
        <f>'435 cfs template'!C6/'435 cfs template'!C15</f>
        <v>0.16400000000000001</v>
      </c>
      <c r="D6" s="8">
        <f>'435 cfs template'!D6/'435 cfs template'!D15</f>
        <v>0.11531808571977706</v>
      </c>
      <c r="E6" s="8">
        <v>6.3E-2</v>
      </c>
      <c r="F6">
        <v>9.2999999999999999E-2</v>
      </c>
      <c r="G6">
        <v>5.7692307692307696E-2</v>
      </c>
    </row>
    <row r="7" spans="1:7" x14ac:dyDescent="0.25">
      <c r="A7" t="s">
        <v>2</v>
      </c>
      <c r="C7" s="8">
        <f>'435 cfs template'!C8/'435 cfs template'!C15</f>
        <v>0</v>
      </c>
      <c r="D7" s="8">
        <f>'435 cfs template'!D8/'435 cfs template'!D15</f>
        <v>0</v>
      </c>
      <c r="E7" s="8">
        <v>0.26400000000000001</v>
      </c>
      <c r="F7">
        <v>0.16400000000000001</v>
      </c>
      <c r="G7">
        <v>0.11538461538461539</v>
      </c>
    </row>
    <row r="8" spans="1:7" x14ac:dyDescent="0.25">
      <c r="A8" t="s">
        <v>3</v>
      </c>
      <c r="C8" s="8" t="e">
        <f>'435 cfs template'!C9/'435 cfs template'!C10</f>
        <v>#DIV/0!</v>
      </c>
      <c r="D8" s="8">
        <f>'435 cfs template'!D9/'435 cfs template'!D15</f>
        <v>0.67326542379396503</v>
      </c>
      <c r="E8" s="8">
        <v>0.25600000000000001</v>
      </c>
      <c r="F8">
        <v>0.59335443037974689</v>
      </c>
      <c r="G8">
        <v>0.5</v>
      </c>
    </row>
    <row r="9" spans="1:7" x14ac:dyDescent="0.25">
      <c r="A9" t="s">
        <v>20</v>
      </c>
      <c r="C9" s="8">
        <f>'435 cfs template'!C10/'435 cfs template'!C15</f>
        <v>0</v>
      </c>
      <c r="D9" s="8">
        <f>SUM(D6:D8)</f>
        <v>0.78858350951374212</v>
      </c>
      <c r="E9" s="8">
        <v>0.58299999999999996</v>
      </c>
      <c r="F9">
        <v>0.63200000000000001</v>
      </c>
      <c r="G9">
        <v>0.67307692307692313</v>
      </c>
    </row>
    <row r="10" spans="1:7" x14ac:dyDescent="0.25">
      <c r="A10" t="s">
        <v>74</v>
      </c>
      <c r="C10" s="8"/>
      <c r="D10" s="8"/>
    </row>
    <row r="11" spans="1:7" x14ac:dyDescent="0.25">
      <c r="A11" t="s">
        <v>42</v>
      </c>
      <c r="C11" s="8">
        <f>'435 cfs template'!C11/'435 cfs template'!C15</f>
        <v>0.29899999999999999</v>
      </c>
      <c r="D11" s="8">
        <f>'435 cfs template'!D11/'435 cfs template'!D15</f>
        <v>0.2604266769171632</v>
      </c>
      <c r="E11" s="8">
        <v>0.35699999999999998</v>
      </c>
      <c r="F11">
        <v>0.29899999999999999</v>
      </c>
      <c r="G11">
        <v>0.26057692307692309</v>
      </c>
    </row>
    <row r="12" spans="1:7" x14ac:dyDescent="0.25">
      <c r="A12" t="s">
        <v>43</v>
      </c>
      <c r="C12" s="8">
        <f>'435 cfs template'!C12/'435 cfs template'!C15</f>
        <v>6.9000000000000006E-2</v>
      </c>
      <c r="D12" s="8">
        <f>'435 cfs template'!D12/'435 cfs template'!D15</f>
        <v>6.6307899288871805E-2</v>
      </c>
      <c r="E12" s="8">
        <v>0.06</v>
      </c>
      <c r="F12">
        <v>6.9000000000000006E-2</v>
      </c>
      <c r="G12">
        <v>6.6346153846153846E-2</v>
      </c>
    </row>
    <row r="13" spans="1:7" x14ac:dyDescent="0.25">
      <c r="A13" t="s">
        <v>44</v>
      </c>
      <c r="C13" s="8">
        <f>'435 cfs template'!C13/'435 cfs template'!C15</f>
        <v>0.36799999999999999</v>
      </c>
      <c r="D13" s="8">
        <f>SUM(D11:D12)</f>
        <v>0.32673457620603502</v>
      </c>
      <c r="E13" s="8">
        <v>0.41699999999999998</v>
      </c>
      <c r="F13">
        <v>0.36799999999999999</v>
      </c>
      <c r="G13">
        <v>0.32692307692307693</v>
      </c>
    </row>
    <row r="14" spans="1:7" x14ac:dyDescent="0.25">
      <c r="C14" s="8"/>
      <c r="D14" s="8"/>
    </row>
    <row r="15" spans="1:7" x14ac:dyDescent="0.25">
      <c r="A15" t="s">
        <v>10</v>
      </c>
      <c r="C15" s="8">
        <f>C9+C13</f>
        <v>0.36799999999999999</v>
      </c>
      <c r="D15" s="8">
        <f>D9+D13</f>
        <v>1.1153180857197771</v>
      </c>
      <c r="E15" s="10">
        <v>1</v>
      </c>
      <c r="F15">
        <v>1</v>
      </c>
      <c r="G15">
        <v>1</v>
      </c>
    </row>
    <row r="16" spans="1:7" x14ac:dyDescent="0.25">
      <c r="C16" s="8"/>
      <c r="D16" s="8"/>
    </row>
    <row r="17" spans="1:7" x14ac:dyDescent="0.25">
      <c r="A17" t="s">
        <v>75</v>
      </c>
      <c r="C17" s="8"/>
      <c r="D17" s="8"/>
    </row>
    <row r="18" spans="1:7" x14ac:dyDescent="0.25">
      <c r="A18" t="s">
        <v>76</v>
      </c>
      <c r="C18" s="8"/>
      <c r="D18" s="8"/>
    </row>
    <row r="19" spans="1:7" x14ac:dyDescent="0.25">
      <c r="A19" t="s">
        <v>5</v>
      </c>
      <c r="C19" s="8">
        <f>'435 cfs template'!C17/'435 cfs template'!C15</f>
        <v>0.15</v>
      </c>
      <c r="D19" s="8">
        <f>'435 cfs template'!D17/'435 cfs template'!D15</f>
        <v>0.12204497405343072</v>
      </c>
      <c r="E19" s="8">
        <v>0.13900000000000001</v>
      </c>
      <c r="F19">
        <v>0.15</v>
      </c>
      <c r="G19">
        <v>0.12211538461538461</v>
      </c>
    </row>
    <row r="20" spans="1:7" x14ac:dyDescent="0.25">
      <c r="A20" t="s">
        <v>6</v>
      </c>
      <c r="C20" s="8">
        <f>'435 cfs template'!C18/'435 cfs template'!C15</f>
        <v>0.05</v>
      </c>
      <c r="D20" s="8">
        <f>'435 cfs template'!D18/'435 cfs template'!D15</f>
        <v>4.3244282144916393E-2</v>
      </c>
      <c r="E20" s="8">
        <v>3.5999999999999997E-2</v>
      </c>
      <c r="F20">
        <v>0.05</v>
      </c>
      <c r="G20">
        <v>4.3269230769230768E-2</v>
      </c>
    </row>
    <row r="21" spans="1:7" x14ac:dyDescent="0.25">
      <c r="A21" t="s">
        <v>7</v>
      </c>
      <c r="C21" s="8">
        <f>'435 cfs template'!C19/'435 cfs template'!C15</f>
        <v>0.3</v>
      </c>
      <c r="D21" s="8">
        <f>'435 cfs template'!D19/'435 cfs template'!D15</f>
        <v>0.38439361906592351</v>
      </c>
      <c r="E21" s="8">
        <v>8.6999999999999994E-2</v>
      </c>
      <c r="F21">
        <v>0.3</v>
      </c>
      <c r="G21">
        <v>0.38461538461538464</v>
      </c>
    </row>
    <row r="22" spans="1:7" x14ac:dyDescent="0.25">
      <c r="A22" t="s">
        <v>8</v>
      </c>
      <c r="C22" s="8">
        <f>'435 cfs template'!C20/'435 cfs template'!C15</f>
        <v>9.5799999999999996E-2</v>
      </c>
      <c r="D22" s="8">
        <f>'435 cfs template'!D20/'435 cfs template'!D15</f>
        <v>8.4566596194503171E-2</v>
      </c>
      <c r="E22" s="8">
        <v>6.8000000000000005E-2</v>
      </c>
      <c r="F22">
        <v>9.5799999999999996E-2</v>
      </c>
      <c r="G22">
        <v>8.461538461538462E-2</v>
      </c>
    </row>
    <row r="23" spans="1:7" x14ac:dyDescent="0.25">
      <c r="A23" t="s">
        <v>9</v>
      </c>
      <c r="C23" s="8">
        <f>C19+C20+C21+C22</f>
        <v>0.5958</v>
      </c>
      <c r="D23" s="8">
        <f>'435 cfs template'!D21/'435 cfs template'!D15</f>
        <v>0.63424947145877375</v>
      </c>
      <c r="E23" s="8">
        <v>0.43</v>
      </c>
      <c r="F23">
        <v>0.5958</v>
      </c>
      <c r="G23">
        <v>0.63461538461538458</v>
      </c>
    </row>
    <row r="24" spans="1:7" x14ac:dyDescent="0.25">
      <c r="C24" s="8"/>
      <c r="D24" s="8"/>
    </row>
    <row r="25" spans="1:7" x14ac:dyDescent="0.25">
      <c r="A25" t="s">
        <v>77</v>
      </c>
      <c r="C25" s="8">
        <f>'435 cfs template'!C23/'435 cfs template'!C15</f>
        <v>0</v>
      </c>
      <c r="D25" s="8">
        <f>'435 cfs template'!D23/'435 cfs template'!D15</f>
        <v>0</v>
      </c>
      <c r="E25" s="8">
        <v>0.13400000000000001</v>
      </c>
      <c r="F25">
        <v>0</v>
      </c>
      <c r="G25">
        <v>0</v>
      </c>
    </row>
    <row r="26" spans="1:7" x14ac:dyDescent="0.25">
      <c r="A26" t="s">
        <v>45</v>
      </c>
      <c r="C26" s="8">
        <f>C23+C25</f>
        <v>0.5958</v>
      </c>
      <c r="D26" s="8">
        <f>'435 cfs template'!D24/'435 cfs template'!D15</f>
        <v>0.82500480492023831</v>
      </c>
      <c r="E26" s="8">
        <v>0.56399999999999995</v>
      </c>
      <c r="F26">
        <v>0.5958</v>
      </c>
      <c r="G26">
        <v>0.82548076923076918</v>
      </c>
    </row>
    <row r="27" spans="1:7" x14ac:dyDescent="0.25">
      <c r="A27" t="s">
        <v>12</v>
      </c>
      <c r="C27" s="8">
        <f>'435 cfs template'!C28/'435 cfs template'!C15</f>
        <v>0.2</v>
      </c>
      <c r="D27" s="8">
        <f>'435 cfs template'!D28/'435 cfs template'!D15</f>
        <v>0.17499519507976169</v>
      </c>
      <c r="E27" s="8">
        <v>0.436</v>
      </c>
      <c r="F27">
        <v>0.2</v>
      </c>
      <c r="G27">
        <v>0.17451923076923076</v>
      </c>
    </row>
    <row r="28" spans="1:7" x14ac:dyDescent="0.25">
      <c r="A28" t="s">
        <v>49</v>
      </c>
      <c r="C28" s="8">
        <f>'435 cfs template'!C29/'435 cfs template'!C15</f>
        <v>1</v>
      </c>
      <c r="D28" s="8">
        <f>'435 cfs template'!D29/'435 cfs template'!D15</f>
        <v>1</v>
      </c>
      <c r="E28" s="10">
        <v>1</v>
      </c>
      <c r="F28">
        <v>1</v>
      </c>
      <c r="G28">
        <v>1</v>
      </c>
    </row>
  </sheetData>
  <customSheetViews>
    <customSheetView guid="{078A71FC-7296-45EA-917B-C712F42DA7F4}" topLeftCell="A11">
      <selection activeCell="D33" sqref="D33"/>
      <pageMargins left="0.7" right="0.7" top="0.75" bottom="0.75" header="0.3" footer="0.3"/>
    </customSheetView>
    <customSheetView guid="{1ED1EB8F-C346-42C9-81C4-0794DCA17BB6}" topLeftCell="A11">
      <selection activeCell="D33" sqref="D3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customSheetViews>
    <customSheetView guid="{078A71FC-7296-45EA-917B-C712F42DA7F4}">
      <selection activeCell="D19" sqref="D19"/>
      <pageMargins left="0.7" right="0.7" top="0.75" bottom="0.75" header="0.3" footer="0.3"/>
    </customSheetView>
    <customSheetView guid="{1ED1EB8F-C346-42C9-81C4-0794DCA17BB6}">
      <selection activeCell="D19" sqref="D1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435 cfs template</vt:lpstr>
      <vt:lpstr>Exog. variables</vt:lpstr>
      <vt:lpstr>What if anal.</vt:lpstr>
      <vt:lpstr>Common size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Akaeze</dc:creator>
  <cp:lastModifiedBy>Robison, Lindon</cp:lastModifiedBy>
  <cp:lastPrinted>2019-01-09T00:04:11Z</cp:lastPrinted>
  <dcterms:created xsi:type="dcterms:W3CDTF">2013-02-11T18:10:55Z</dcterms:created>
  <dcterms:modified xsi:type="dcterms:W3CDTF">2019-09-30T10:19:54Z</dcterms:modified>
</cp:coreProperties>
</file>